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U:\My Documents\Conflict Minerals\2026\"/>
    </mc:Choice>
  </mc:AlternateContent>
  <xr:revisionPtr revIDLastSave="0" documentId="8_{B1EF16A8-22F5-4385-90C0-F148B0CFA30C}"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51840" windowHeight="211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5" l="1"/>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S5" i="5"/>
  <c r="C5" i="5"/>
  <c r="C6" i="5"/>
  <c r="V6"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9"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E9" i="5"/>
  <c r="X9" i="5"/>
  <c r="V10" i="5"/>
  <c r="E10" i="5"/>
  <c r="X10" i="5"/>
  <c r="V11" i="5"/>
  <c r="E11" i="5"/>
  <c r="X11" i="5"/>
  <c r="V12" i="5"/>
  <c r="E12" i="5"/>
  <c r="X12" i="5"/>
  <c r="V13" i="5"/>
  <c r="E13" i="5"/>
  <c r="X13" i="5"/>
  <c r="V14" i="5"/>
  <c r="E14" i="5"/>
  <c r="X14" i="5"/>
  <c r="V15" i="5"/>
  <c r="E15" i="5"/>
  <c r="X15" i="5"/>
  <c r="V16" i="5"/>
  <c r="E16" i="5"/>
  <c r="X16" i="5"/>
  <c r="V17" i="5"/>
  <c r="E17" i="5"/>
  <c r="X17" i="5"/>
  <c r="V18" i="5"/>
  <c r="E18" i="5"/>
  <c r="X18" i="5"/>
  <c r="V19" i="5"/>
  <c r="V20" i="5"/>
  <c r="E20" i="5"/>
  <c r="X20" i="5"/>
  <c r="V21" i="5"/>
  <c r="E21" i="5"/>
  <c r="X21" i="5"/>
  <c r="V22" i="5"/>
  <c r="E22" i="5"/>
  <c r="X22" i="5"/>
  <c r="V23" i="5"/>
  <c r="E23" i="5"/>
  <c r="X23" i="5"/>
  <c r="V24" i="5"/>
  <c r="E24" i="5"/>
  <c r="X24" i="5"/>
  <c r="V25" i="5"/>
  <c r="E25" i="5"/>
  <c r="X25" i="5"/>
  <c r="V26" i="5"/>
  <c r="E26" i="5"/>
  <c r="X26" i="5"/>
  <c r="V27" i="5"/>
  <c r="V28" i="5"/>
  <c r="E28" i="5"/>
  <c r="X28" i="5"/>
  <c r="V29" i="5"/>
  <c r="E29" i="5"/>
  <c r="X29" i="5"/>
  <c r="V30" i="5"/>
  <c r="E30" i="5"/>
  <c r="V31" i="5"/>
  <c r="E31" i="5"/>
  <c r="X31" i="5"/>
  <c r="V32" i="5"/>
  <c r="E32" i="5"/>
  <c r="X32" i="5"/>
  <c r="V33" i="5"/>
  <c r="E33" i="5"/>
  <c r="X33" i="5"/>
  <c r="V34" i="5"/>
  <c r="E34" i="5"/>
  <c r="X34" i="5"/>
  <c r="V35" i="5"/>
  <c r="E35" i="5"/>
  <c r="X35" i="5"/>
  <c r="V36" i="5"/>
  <c r="E36" i="5"/>
  <c r="V37" i="5"/>
  <c r="E37" i="5"/>
  <c r="X37" i="5"/>
  <c r="V38" i="5"/>
  <c r="E38" i="5"/>
  <c r="X38" i="5"/>
  <c r="V39" i="5"/>
  <c r="E39" i="5"/>
  <c r="X39" i="5"/>
  <c r="V40" i="5"/>
  <c r="E40" i="5"/>
  <c r="V41" i="5"/>
  <c r="E41" i="5"/>
  <c r="X41" i="5"/>
  <c r="V42" i="5"/>
  <c r="E42" i="5"/>
  <c r="X42" i="5"/>
  <c r="V43" i="5"/>
  <c r="V44" i="5"/>
  <c r="E44" i="5"/>
  <c r="X44" i="5"/>
  <c r="V45" i="5"/>
  <c r="E45" i="5"/>
  <c r="X45" i="5"/>
  <c r="V46" i="5"/>
  <c r="E46" i="5"/>
  <c r="X46" i="5"/>
  <c r="V47" i="5"/>
  <c r="E47" i="5"/>
  <c r="X47" i="5"/>
  <c r="V48" i="5"/>
  <c r="E48" i="5"/>
  <c r="X48" i="5"/>
  <c r="V49" i="5"/>
  <c r="V50" i="5"/>
  <c r="E50" i="5"/>
  <c r="X50" i="5"/>
  <c r="V51" i="5"/>
  <c r="E51" i="5"/>
  <c r="X51" i="5"/>
  <c r="V52" i="5"/>
  <c r="E52" i="5"/>
  <c r="V53" i="5"/>
  <c r="E53" i="5"/>
  <c r="X53" i="5"/>
  <c r="V54" i="5"/>
  <c r="E54" i="5"/>
  <c r="X54" i="5"/>
  <c r="V55" i="5"/>
  <c r="E55" i="5"/>
  <c r="X55" i="5"/>
  <c r="V56" i="5"/>
  <c r="E56" i="5"/>
  <c r="V57" i="5"/>
  <c r="E57" i="5"/>
  <c r="X57" i="5"/>
  <c r="V58" i="5"/>
  <c r="E58" i="5"/>
  <c r="X58" i="5"/>
  <c r="V59" i="5"/>
  <c r="E59" i="5"/>
  <c r="X59" i="5"/>
  <c r="V60" i="5"/>
  <c r="E60" i="5"/>
  <c r="V61" i="5"/>
  <c r="V62" i="5"/>
  <c r="V63" i="5"/>
  <c r="E63" i="5"/>
  <c r="X63" i="5"/>
  <c r="V64" i="5"/>
  <c r="E64" i="5"/>
  <c r="V65" i="5"/>
  <c r="E65" i="5"/>
  <c r="X65" i="5"/>
  <c r="V66" i="5"/>
  <c r="E66" i="5"/>
  <c r="X66" i="5"/>
  <c r="V67" i="5"/>
  <c r="E67" i="5"/>
  <c r="X67" i="5"/>
  <c r="V68" i="5"/>
  <c r="E68" i="5"/>
  <c r="V69" i="5"/>
  <c r="E69" i="5"/>
  <c r="X69" i="5"/>
  <c r="V70" i="5"/>
  <c r="E70" i="5"/>
  <c r="X70" i="5"/>
  <c r="V71" i="5"/>
  <c r="H71" i="5"/>
  <c r="E71" i="5"/>
  <c r="X71" i="5"/>
  <c r="V72" i="5"/>
  <c r="E72" i="5"/>
  <c r="V73" i="5"/>
  <c r="E73" i="5"/>
  <c r="X73" i="5"/>
  <c r="V74" i="5"/>
  <c r="E74" i="5"/>
  <c r="X74" i="5"/>
  <c r="V75" i="5"/>
  <c r="E75" i="5"/>
  <c r="X75" i="5"/>
  <c r="V76" i="5"/>
  <c r="E76" i="5"/>
  <c r="X76" i="5"/>
  <c r="V77" i="5"/>
  <c r="E77" i="5"/>
  <c r="X77" i="5"/>
  <c r="V78" i="5"/>
  <c r="V79" i="5"/>
  <c r="E79" i="5"/>
  <c r="X79" i="5"/>
  <c r="V80" i="5"/>
  <c r="E80" i="5"/>
  <c r="V81" i="5"/>
  <c r="E81" i="5"/>
  <c r="X81" i="5"/>
  <c r="V82" i="5"/>
  <c r="E82" i="5"/>
  <c r="X82" i="5"/>
  <c r="V83" i="5"/>
  <c r="E83" i="5"/>
  <c r="X83" i="5"/>
  <c r="V84" i="5"/>
  <c r="E84" i="5"/>
  <c r="V85" i="5"/>
  <c r="E85" i="5"/>
  <c r="X85" i="5"/>
  <c r="V86" i="5"/>
  <c r="E86" i="5"/>
  <c r="X86" i="5"/>
  <c r="V87" i="5"/>
  <c r="V88" i="5"/>
  <c r="E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64" i="6" a="1"/>
  <c r="G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I14" i="6"/>
  <c r="C14" i="6"/>
  <c r="J15" i="6"/>
  <c r="J16" i="6"/>
  <c r="J17" i="6"/>
  <c r="I17" i="6"/>
  <c r="C17" i="6"/>
  <c r="J25" i="6"/>
  <c r="B25" i="6"/>
  <c r="G25" i="6"/>
  <c r="H25" i="6"/>
  <c r="I25" i="6"/>
  <c r="C25" i="6"/>
  <c r="I26" i="6"/>
  <c r="J37" i="6"/>
  <c r="F37" i="6"/>
  <c r="B37" i="6"/>
  <c r="G37" i="6"/>
  <c r="H37" i="6"/>
  <c r="I37" i="6"/>
  <c r="C37" i="6"/>
  <c r="J45" i="6"/>
  <c r="F45" i="6"/>
  <c r="B45" i="6"/>
  <c r="G45" i="6"/>
  <c r="H45" i="6"/>
  <c r="I45" i="6"/>
  <c r="C45" i="6"/>
  <c r="I46" i="6"/>
  <c r="I54" i="6"/>
  <c r="J63" i="6"/>
  <c r="F24" i="6"/>
  <c r="F26" i="6"/>
  <c r="F54" i="6"/>
  <c r="F63" i="6"/>
  <c r="H63" i="6"/>
  <c r="I63" i="6"/>
  <c r="C63" i="6"/>
  <c r="J64" i="6"/>
  <c r="J66" i="6"/>
  <c r="I67" i="6"/>
  <c r="A1" i="8"/>
  <c r="I19" i="6"/>
  <c r="J26" i="6"/>
  <c r="B26" i="6"/>
  <c r="G26" i="6"/>
  <c r="H26" i="6"/>
  <c r="C26" i="6"/>
  <c r="I27" i="6"/>
  <c r="I39" i="6"/>
  <c r="J46" i="6"/>
  <c r="F46" i="6"/>
  <c r="B46" i="6"/>
  <c r="G46" i="6"/>
  <c r="H46" i="6"/>
  <c r="C46" i="6"/>
  <c r="I47" i="6"/>
  <c r="J54" i="6"/>
  <c r="H54" i="6"/>
  <c r="C54" i="6"/>
  <c r="I55" i="6"/>
  <c r="I56" i="6"/>
  <c r="F55" i="6"/>
  <c r="F56" i="6"/>
  <c r="H56" i="6"/>
  <c r="C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G19" i="6"/>
  <c r="H19" i="6"/>
  <c r="C19" i="6"/>
  <c r="I20" i="6"/>
  <c r="J27" i="6"/>
  <c r="B27" i="6"/>
  <c r="G27" i="6"/>
  <c r="H27" i="6"/>
  <c r="C27" i="6"/>
  <c r="I29" i="6"/>
  <c r="I30" i="6"/>
  <c r="I31" i="6"/>
  <c r="I32" i="6"/>
  <c r="J39" i="6"/>
  <c r="F39" i="6"/>
  <c r="B39" i="6"/>
  <c r="G39" i="6"/>
  <c r="H39" i="6"/>
  <c r="C39" i="6"/>
  <c r="I40" i="6"/>
  <c r="J47" i="6"/>
  <c r="F47" i="6"/>
  <c r="B47" i="6"/>
  <c r="G47" i="6"/>
  <c r="H47" i="6"/>
  <c r="C47" i="6"/>
  <c r="J55" i="6"/>
  <c r="H55" i="6"/>
  <c r="C55" i="6"/>
  <c r="J56"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H40" i="6"/>
  <c r="C40" i="6"/>
  <c r="I41" i="6"/>
  <c r="I49" i="6"/>
  <c r="J57" i="6"/>
  <c r="F57" i="6"/>
  <c r="H57" i="6"/>
  <c r="C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G42" i="6"/>
  <c r="H42" i="6"/>
  <c r="C42" i="6"/>
  <c r="J50" i="6"/>
  <c r="F50" i="6"/>
  <c r="B50" i="6"/>
  <c r="G50" i="6"/>
  <c r="H50" i="6"/>
  <c r="C50" i="6"/>
  <c r="I51" i="6"/>
  <c r="J59" i="6"/>
  <c r="F59" i="6"/>
  <c r="H59" i="6"/>
  <c r="C59" i="6"/>
  <c r="I60" i="6"/>
  <c r="C5" i="7"/>
  <c r="D1" i="6"/>
  <c r="J6" i="6"/>
  <c r="J7" i="6"/>
  <c r="C7" i="6"/>
  <c r="J8" i="6"/>
  <c r="C8" i="6"/>
  <c r="J9" i="6"/>
  <c r="C9" i="6"/>
  <c r="J10" i="6"/>
  <c r="C10" i="6"/>
  <c r="J11" i="6"/>
  <c r="C11" i="6"/>
  <c r="J12" i="6"/>
  <c r="C12" i="6"/>
  <c r="I24" i="6"/>
  <c r="J35" i="6"/>
  <c r="F35" i="6"/>
  <c r="B35" i="6"/>
  <c r="G35" i="6"/>
  <c r="H35" i="6"/>
  <c r="C35" i="6"/>
  <c r="I36" i="6"/>
  <c r="I44" i="6"/>
  <c r="J51" i="6"/>
  <c r="F51" i="6"/>
  <c r="H51" i="6"/>
  <c r="C51" i="6"/>
  <c r="I52" i="6"/>
  <c r="J60" i="6"/>
  <c r="F60" i="6"/>
  <c r="H60" i="6"/>
  <c r="C60" i="6"/>
  <c r="I62" i="6"/>
  <c r="I65" i="6"/>
  <c r="F5" i="7"/>
  <c r="B10" i="4"/>
  <c r="A6" i="6"/>
  <c r="B18" i="4"/>
  <c r="A10" i="6"/>
  <c r="G25" i="4"/>
  <c r="B44" i="4"/>
  <c r="A29" i="6"/>
  <c r="B49" i="4"/>
  <c r="A33" i="6"/>
  <c r="B85" i="4"/>
  <c r="A60" i="6"/>
  <c r="A4" i="5"/>
  <c r="I4" i="5"/>
  <c r="I15" i="6"/>
  <c r="I16" i="6"/>
  <c r="J24" i="6"/>
  <c r="B24" i="6"/>
  <c r="G24" i="6"/>
  <c r="H24" i="6"/>
  <c r="C24" i="6"/>
  <c r="J36" i="6"/>
  <c r="F36" i="6"/>
  <c r="B36" i="6"/>
  <c r="G36" i="6"/>
  <c r="H36" i="6"/>
  <c r="C36" i="6"/>
  <c r="J44" i="6"/>
  <c r="F44" i="6"/>
  <c r="B44" i="6"/>
  <c r="G44" i="6"/>
  <c r="H44" i="6"/>
  <c r="C44" i="6"/>
  <c r="J52" i="6"/>
  <c r="F52" i="6"/>
  <c r="B52" i="6"/>
  <c r="G52" i="6"/>
  <c r="H52" i="6"/>
  <c r="C52" i="6"/>
  <c r="J62" i="6"/>
  <c r="F62" i="6"/>
  <c r="H62" i="6"/>
  <c r="C62"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D41" i="6"/>
  <c r="D36" i="6"/>
  <c r="D51" i="6"/>
  <c r="D45" i="6"/>
  <c r="F66" i="6"/>
  <c r="D5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D42" i="6"/>
  <c r="F68" i="6"/>
  <c r="D52"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984" i="5"/>
  <c r="F984" i="5"/>
  <c r="R984" i="5"/>
  <c r="J984" i="5"/>
  <c r="I984"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I27" i="5"/>
  <c r="E27" i="5"/>
  <c r="X27" i="5"/>
  <c r="F43" i="5"/>
  <c r="E43" i="5"/>
  <c r="X43" i="5"/>
  <c r="H87" i="5"/>
  <c r="E87" i="5"/>
  <c r="X87" i="5"/>
  <c r="F103" i="5"/>
  <c r="E103" i="5"/>
  <c r="X103" i="5"/>
  <c r="I175" i="5"/>
  <c r="E175" i="5"/>
  <c r="X175" i="5"/>
  <c r="I19" i="5"/>
  <c r="E19"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c r="I7" i="5"/>
  <c r="R8" i="5"/>
  <c r="J8" i="5"/>
  <c r="I8" i="5"/>
  <c r="G8" i="5"/>
  <c r="H8" i="5"/>
  <c r="F8" i="5"/>
  <c r="E8" i="5"/>
  <c r="X8" i="5"/>
  <c r="V209" i="5"/>
  <c r="G209" i="5"/>
  <c r="R379" i="5"/>
  <c r="E379" i="5"/>
  <c r="X379" i="5"/>
  <c r="H423" i="5"/>
  <c r="E423" i="5"/>
  <c r="X423" i="5"/>
  <c r="X30" i="5"/>
  <c r="X56" i="5"/>
  <c r="X60" i="5"/>
  <c r="X64" i="5"/>
  <c r="X68" i="5"/>
  <c r="X80" i="5"/>
  <c r="X88" i="5"/>
  <c r="X343" i="5"/>
  <c r="X36" i="5"/>
  <c r="X40" i="5"/>
  <c r="X52" i="5"/>
  <c r="X72" i="5"/>
  <c r="X84" i="5"/>
  <c r="X101" i="5"/>
  <c r="X344" i="5"/>
  <c r="X531"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F69" i="6"/>
  <c r="C69" i="6"/>
  <c r="G6" i="5"/>
  <c r="R6" i="5"/>
  <c r="F6" i="5"/>
  <c r="I6" i="5"/>
  <c r="H6" i="5"/>
  <c r="E6" i="5"/>
  <c r="X6" i="5"/>
  <c r="J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6" i="5"/>
  <c r="S6" i="5"/>
  <c r="S7" i="5"/>
  <c r="AB7" i="5"/>
  <c r="AB8" i="5"/>
  <c r="S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9" i="5"/>
  <c r="F9" i="5"/>
  <c r="I9" i="5"/>
  <c r="J9" i="5"/>
  <c r="H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B64" i="6"/>
  <c r="H64" i="6"/>
  <c r="A17" i="6"/>
  <c r="B35" i="4"/>
  <c r="A22" i="6"/>
  <c r="D31" i="4"/>
  <c r="D55" i="4"/>
  <c r="D67" i="4"/>
  <c r="D49" i="4"/>
  <c r="D61" i="4"/>
  <c r="D37" i="4"/>
  <c r="D74" i="4"/>
  <c r="D43" i="4"/>
  <c r="E209" i="5"/>
  <c r="X209" i="5"/>
  <c r="J209" i="5"/>
  <c r="R209" i="5"/>
  <c r="F209" i="5"/>
  <c r="H209" i="5"/>
  <c r="I209" i="5"/>
  <c r="J5" i="5"/>
  <c r="H5" i="5"/>
  <c r="G5" i="5"/>
  <c r="F5" i="5"/>
  <c r="R5" i="5"/>
  <c r="E5" i="5"/>
  <c r="X5" i="5"/>
  <c r="I5" i="5"/>
  <c r="G68" i="6"/>
  <c r="H68" i="6"/>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5" i="6"/>
  <c r="H65" i="6"/>
  <c r="G67" i="6"/>
  <c r="H67" i="6"/>
  <c r="G66" i="6"/>
  <c r="H66" i="6"/>
  <c r="C64" i="6"/>
  <c r="D64" i="6"/>
  <c r="D68" i="6"/>
  <c r="C68" i="6"/>
  <c r="G69" i="6" a="1"/>
  <c r="G69" i="6"/>
  <c r="H69" i="6"/>
  <c r="H70" i="6"/>
  <c r="D2" i="6"/>
  <c r="X1040"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<sst xmlns="http://schemas.openxmlformats.org/spreadsheetml/2006/main" count="22529" uniqueCount="15886">
  <si>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</si>
  <si>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</si>
  <si>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</si>
  <si>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</si>
  <si>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</si>
  <si>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</si>
  <si>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</si>
  <si>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</si>
  <si>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</si>
  <si>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</si>
  <si>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</si>
  <si>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</si>
  <si>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</si>
  <si>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</si>
  <si>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</si>
  <si>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</si>
  <si>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</si>
  <si>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</si>
  <si>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</si>
  <si>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</si>
  <si>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</si>
  <si>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</si>
  <si>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</si>
  <si>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</si>
  <si>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</si>
  <si>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</si>
  <si>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</si>
  <si>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</si>
  <si>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</si>
  <si>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</si>
  <si>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</si>
  <si>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</si>
  <si>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</si>
  <si>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</si>
  <si>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</si>
  <si>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</si>
  <si>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</si>
  <si>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</si>
  <si>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</si>
  <si>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</si>
  <si>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</si>
  <si>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</si>
  <si>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</si>
  <si>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</si>
  <si>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</si>
  <si>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</si>
  <si>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</si>
  <si>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</si>
  <si>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</si>
  <si>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</si>
  <si>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</si>
  <si>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</si>
  <si>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</si>
  <si>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</si>
  <si>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</si>
  <si>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</si>
  <si>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</si>
  <si>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</si>
  <si>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</si>
  <si>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</si>
  <si>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</si>
  <si>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</si>
  <si>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</si>
  <si>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</si>
  <si>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</si>
  <si>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</si>
  <si>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</si>
  <si>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</si>
  <si>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</si>
  <si>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</si>
  <si>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</si>
  <si>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</si>
  <si>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</si>
  <si>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</si>
  <si>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</si>
  <si>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</si>
  <si>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</si>
  <si>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</si>
  <si>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</si>
  <si>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</si>
  <si>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</si>
  <si>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</si>
  <si>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</si>
  <si>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</si>
  <si>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</si>
  <si>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</si>
  <si>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</si>
  <si>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</si>
  <si>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</si>
  <si>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</si>
  <si>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</si>
  <si>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</si>
  <si>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</si>
  <si>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</si>
  <si>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</si>
  <si>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</si>
  <si>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</si>
  <si>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</si>
  <si>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</si>
  <si>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</si>
  <si>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</si>
  <si>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</si>
  <si>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</si>
  <si>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</si>
  <si>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</si>
  <si>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</si>
  <si>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</si>
  <si>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</si>
  <si>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</si>
  <si>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</si>
  <si>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</si>
  <si>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</si>
  <si>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</si>
  <si>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</si>
  <si>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</si>
  <si>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</si>
  <si>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</si>
  <si>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</si>
  <si>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</si>
  <si>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</si>
  <si>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</si>
  <si>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</si>
  <si>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</si>
  <si>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</si>
  <si>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</si>
  <si>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</si>
  <si>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</si>
  <si>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</si>
  <si>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</si>
  <si>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</si>
  <si>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</si>
  <si>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</si>
  <si>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</si>
  <si>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</si>
  <si>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</si>
  <si>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</si>
  <si>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</si>
  <si>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</si>
  <si>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</si>
  <si>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</si>
  <si>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</si>
  <si>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</si>
  <si>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</si>
  <si>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</si>
  <si>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</si>
  <si>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</si>
  <si>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</si>
  <si>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</si>
  <si>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</si>
  <si>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</si>
  <si>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</si>
  <si>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</si>
  <si>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</si>
  <si>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</si>
  <si>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</si>
  <si>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</si>
  <si>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</si>
  <si>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</si>
  <si>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</si>
  <si>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</si>
  <si>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</si>
  <si>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</si>
  <si>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</si>
  <si>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</si>
  <si>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</si>
  <si>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</si>
  <si>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</si>
  <si>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</si>
  <si>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</si>
  <si>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</si>
  <si>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</si>
  <si>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</si>
  <si>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</si>
  <si>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</si>
  <si>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</si>
  <si>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</si>
  <si>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</si>
  <si>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</si>
  <si>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</si>
  <si>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</si>
  <si>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</si>
  <si>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</si>
  <si>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</si>
  <si>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</si>
  <si>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</si>
  <si>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</si>
  <si>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</si>
  <si>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</si>
  <si>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</si>
  <si>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</si>
  <si>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</si>
  <si>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</si>
  <si>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</si>
  <si>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</si>
  <si>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</si>
  <si>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</si>
  <si>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</si>
  <si>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</si>
  <si>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</si>
  <si>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</si>
  <si>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</si>
  <si>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</si>
  <si>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</si>
  <si>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</si>
  <si>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</si>
  <si>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</si>
  <si>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</si>
  <si>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</si>
  <si>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</si>
  <si>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</si>
  <si>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</si>
  <si>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</si>
  <si>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</si>
  <si>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</si>
  <si>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</si>
  <si>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</si>
  <si>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</si>
  <si>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</si>
  <si>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</si>
  <si>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</si>
  <si>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</si>
  <si>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</si>
  <si>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</si>
  <si>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</si>
  <si>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</si>
  <si>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</si>
  <si>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</si>
  <si>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</si>
  <si>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</si>
  <si>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</si>
  <si>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</si>
  <si>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</si>
  <si>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</si>
  <si>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</si>
  <si>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</si>
  <si>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</si>
  <si>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</si>
  <si>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</si>
  <si>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</si>
  <si>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</si>
  <si>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</si>
  <si>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</si>
  <si>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</si>
  <si>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</si>
  <si>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</si>
  <si>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</si>
  <si>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</si>
  <si>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</si>
  <si>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</si>
  <si>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</si>
  <si>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</si>
  <si>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</si>
  <si>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</si>
  <si>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</si>
  <si>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</si>
  <si>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</si>
  <si>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</si>
  <si>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</si>
  <si>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</si>
  <si>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</si>
  <si>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</si>
  <si>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</si>
  <si>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</si>
  <si>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</si>
  <si>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</si>
  <si>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</si>
  <si>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</si>
  <si>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</si>
  <si>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</si>
  <si>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</si>
  <si>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</si>
  <si>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</si>
  <si>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</si>
  <si>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</si>
  <si>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</si>
  <si>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</si>
  <si>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</si>
  <si>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</si>
  <si>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</si>
  <si>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</si>
  <si>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</si>
  <si>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</si>
  <si>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</si>
  <si>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</si>
  <si>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</si>
  <si>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</si>
  <si>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</si>
  <si>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</si>
  <si>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</si>
  <si>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</si>
  <si>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</si>
  <si>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</si>
  <si>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</si>
  <si>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</si>
  <si>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</si>
  <si>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</si>
  <si>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</si>
  <si>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</si>
  <si>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</si>
  <si>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</si>
  <si>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</si>
  <si>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</si>
  <si>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</si>
  <si>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</si>
  <si>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</si>
  <si>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</si>
  <si>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</si>
  <si>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</si>
  <si>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</si>
  <si>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</si>
  <si>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</si>
  <si>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</si>
  <si>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</si>
  <si>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</si>
  <si>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</si>
  <si>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</si>
  <si>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</si>
  <si>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</si>
  <si>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</si>
  <si>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</si>
  <si>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</si>
  <si>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</si>
  <si>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</si>
  <si>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</si>
  <si>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</si>
  <si>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</si>
  <si>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</si>
  <si>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</si>
  <si>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</si>
  <si>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</si>
  <si>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</si>
  <si>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</si>
  <si>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</si>
  <si>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</si>
  <si>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</si>
  <si>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</si>
  <si>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</si>
  <si>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</si>
  <si>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</si>
  <si>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</si>
  <si>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</si>
  <si>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</si>
  <si>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</si>
  <si>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</si>
  <si>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</si>
  <si>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</si>
  <si>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</si>
  <si>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</si>
  <si>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</si>
  <si>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</si>
  <si>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</si>
  <si>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</si>
  <si>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</si>
  <si>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</si>
  <si>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</si>
  <si>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</si>
  <si>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</si>
  <si>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</si>
  <si>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</si>
  <si>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</si>
  <si>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</si>
  <si>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</si>
  <si>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</si>
  <si>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</si>
  <si>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</si>
  <si>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</si>
  <si>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</si>
  <si>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</si>
  <si>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</si>
  <si>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</si>
  <si>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</si>
  <si>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</si>
  <si>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</si>
  <si>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</si>
  <si>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</si>
  <si>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</si>
  <si>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</si>
  <si>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</si>
  <si>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</si>
  <si>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</si>
  <si>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</si>
  <si>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</si>
  <si>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</si>
  <si>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</si>
  <si>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</si>
  <si>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</si>
  <si>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</si>
  <si>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</si>
  <si>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</si>
  <si>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</si>
  <si>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</si>
  <si>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</si>
  <si>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</si>
  <si>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</si>
  <si>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</si>
  <si>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</si>
  <si>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</si>
  <si>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</si>
  <si>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</si>
  <si>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</si>
  <si>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</si>
  <si>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</si>
  <si>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</si>
  <si>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</si>
  <si>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</si>
  <si>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</si>
  <si>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</si>
  <si>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</si>
  <si>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</si>
  <si>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</si>
  <si>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</si>
  <si>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</si>
  <si>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</si>
  <si>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</si>
  <si>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</si>
  <si>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</si>
  <si>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</si>
  <si>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</si>
  <si>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</si>
  <si>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</si>
  <si>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</si>
  <si>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</si>
  <si>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</si>
  <si>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</si>
  <si>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</si>
  <si>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</si>
  <si>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</si>
  <si>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</si>
  <si>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</si>
  <si>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</si>
  <si>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</si>
  <si>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</si>
  <si>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</si>
  <si>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</si>
  <si>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</si>
  <si>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</si>
  <si>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</si>
  <si>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</si>
  <si>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</si>
  <si>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</si>
  <si>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</si>
  <si>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</si>
  <si>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</si>
  <si>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</si>
  <si>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</si>
  <si>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</si>
  <si>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</si>
  <si>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</si>
  <si>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</si>
  <si>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</si>
  <si>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</si>
  <si>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</si>
  <si>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</si>
  <si>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</si>
  <si>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</si>
  <si>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</si>
  <si>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</si>
  <si>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</si>
  <si>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</si>
  <si>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</si>
  <si>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</si>
  <si>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</si>
  <si>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</si>
  <si>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</si>
  <si>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</si>
  <si>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</si>
  <si>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</si>
  <si>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</si>
  <si>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</si>
  <si>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</si>
  <si>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</si>
  <si>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</si>
  <si>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</si>
  <si>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</si>
  <si>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</si>
  <si>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</si>
  <si>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</si>
  <si>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</si>
  <si>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</si>
  <si>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</si>
  <si>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</si>
  <si>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</si>
  <si>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</si>
  <si>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</si>
  <si>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</si>
  <si>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</si>
  <si>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</si>
  <si>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</si>
  <si>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</si>
  <si>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</si>
  <si>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</si>
  <si>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</si>
  <si>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</si>
  <si>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</si>
  <si>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</si>
  <si>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</si>
  <si>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</si>
  <si>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</si>
  <si>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</si>
  <si>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</si>
  <si>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</si>
  <si>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</si>
  <si>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</si>
  <si>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</si>
  <si>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</si>
  <si>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</si>
  <si>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</si>
  <si>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</si>
  <si>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</si>
  <si>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</si>
  <si>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</si>
  <si>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</si>
  <si>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</si>
  <si>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</si>
  <si>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</si>
  <si>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</si>
  <si>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</si>
  <si>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</si>
  <si>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</si>
  <si>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</si>
  <si>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</si>
  <si>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</si>
  <si>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</si>
  <si>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</si>
  <si>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</si>
  <si>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</si>
  <si>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</si>
  <si>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</si>
  <si>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</si>
  <si>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</si>
  <si>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</si>
  <si>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</si>
  <si>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</si>
  <si>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</si>
  <si>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</si>
  <si>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</si>
  <si>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</si>
  <si>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</si>
  <si>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</si>
  <si>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</si>
  <si>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</si>
  <si>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</si>
  <si>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</si>
  <si>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</si>
  <si>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</si>
  <si>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</si>
  <si>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</si>
  <si>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</si>
  <si>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</si>
  <si>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</si>
  <si>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</si>
  <si>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</si>
  <si>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</si>
  <si>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</si>
  <si>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</si>
  <si>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</si>
  <si>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</si>
  <si>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</si>
  <si>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</si>
  <si>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</si>
  <si>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</si>
  <si>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</si>
  <si>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</si>
  <si>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</si>
  <si>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</si>
  <si>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</si>
  <si>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</si>
  <si>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</si>
  <si>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</si>
  <si>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</si>
  <si>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</si>
  <si>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</si>
  <si>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</si>
  <si>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</si>
  <si>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</si>
  <si>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</si>
  <si>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</si>
  <si>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</si>
  <si>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</si>
  <si>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</si>
  <si>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</si>
  <si>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</si>
  <si>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</si>
  <si>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</si>
  <si>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</si>
  <si>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</si>
  <si>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</si>
  <si>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</si>
  <si>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</si>
  <si>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</si>
  <si>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</si>
  <si>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</si>
  <si>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</si>
  <si>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</si>
  <si>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</si>
  <si>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</si>
  <si>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</si>
  <si>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</si>
  <si>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</si>
  <si>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</si>
  <si>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</si>
  <si>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</si>
  <si>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</si>
  <si>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</si>
  <si>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</si>
  <si>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</si>
  <si>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</si>
  <si>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</si>
  <si>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</si>
  <si>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</si>
  <si>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</si>
  <si>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</si>
  <si>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</si>
  <si>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</si>
  <si>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</si>
  <si>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</si>
  <si>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</si>
  <si>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</si>
  <si>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</si>
  <si>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</si>
  <si>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</si>
  <si>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</si>
  <si>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</si>
  <si>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</si>
  <si>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</si>
  <si>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</si>
  <si>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</si>
  <si>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</si>
  <si>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</si>
  <si>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</si>
  <si>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</si>
  <si>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</si>
  <si>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</si>
  <si>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</si>
  <si>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</si>
  <si>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</si>
  <si>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</si>
  <si>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</si>
  <si>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</si>
  <si>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</si>
  <si>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</si>
  <si>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</si>
  <si>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</si>
  <si>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</si>
  <si>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</si>
  <si>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</si>
  <si>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</si>
  <si>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</si>
  <si>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</si>
  <si>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</si>
  <si>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</si>
  <si>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</si>
  <si>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</si>
  <si>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</si>
  <si>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</si>
  <si>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</si>
  <si>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</si>
  <si>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</si>
  <si>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</si>
  <si>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</si>
  <si>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</si>
  <si>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</si>
  <si>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</si>
  <si>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</si>
  <si>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</si>
  <si>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</si>
  <si>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</si>
  <si>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</si>
  <si>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</si>
  <si>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</si>
  <si>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</si>
  <si>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</si>
  <si>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</si>
  <si>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</si>
  <si>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</si>
  <si>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</si>
  <si>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</si>
  <si>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</si>
  <si>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</si>
  <si>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</si>
  <si>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</si>
  <si>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</si>
  <si>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</si>
  <si>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</si>
  <si>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</si>
  <si>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</si>
  <si>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</si>
  <si>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</si>
  <si>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</si>
  <si>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</si>
  <si>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</si>
  <si>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</si>
  <si>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</si>
  <si>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</si>
  <si>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</si>
  <si>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</si>
  <si>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</si>
  <si>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</si>
  <si>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</si>
  <si>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</si>
  <si>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</si>
  <si>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</si>
  <si>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</si>
  <si>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</si>
  <si>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</si>
  <si>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</si>
  <si>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</si>
  <si>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</si>
  <si>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</si>
  <si>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</si>
  <si>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</si>
  <si>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</si>
  <si>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</si>
  <si>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</si>
  <si>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</si>
  <si>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</si>
  <si>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</si>
  <si>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</si>
  <si>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</si>
  <si>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</si>
  <si>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</si>
  <si>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</si>
  <si>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</si>
  <si>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</si>
  <si>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</si>
  <si>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</si>
  <si>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</si>
  <si>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</si>
  <si>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</si>
  <si>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</si>
  <si>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</si>
  <si>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</si>
  <si>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</si>
  <si>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</si>
  <si>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</si>
  <si>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</si>
  <si>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</si>
  <si>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</si>
  <si>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</si>
  <si>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</si>
  <si>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</si>
  <si>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</si>
  <si>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</si>
  <si>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</si>
  <si>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</si>
  <si>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</si>
  <si>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</si>
  <si>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</si>
  <si>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</si>
  <si>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</si>
  <si>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</si>
  <si>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</si>
  <si>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</si>
  <si>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</si>
  <si>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</si>
  <si>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</si>
  <si>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</si>
  <si>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</si>
  <si>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</si>
  <si>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</si>
  <si>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</si>
  <si>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</si>
  <si>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</si>
  <si>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</si>
  <si>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</si>
  <si>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</si>
  <si>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</si>
  <si>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</si>
  <si>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</si>
  <si>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</si>
  <si>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</si>
  <si>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</si>
  <si>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</si>
  <si>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</si>
  <si>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</si>
  <si>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</si>
  <si>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</si>
  <si>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</si>
  <si>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</si>
  <si>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</si>
  <si>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</si>
  <si>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</si>
  <si>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</si>
  <si>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</si>
  <si>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</si>
  <si>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</si>
  <si>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</si>
  <si>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</si>
  <si>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</si>
  <si>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</si>
  <si>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</si>
  <si>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</si>
  <si>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</si>
  <si>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</si>
  <si>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</si>
  <si>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</si>
  <si>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</si>
  <si>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</si>
  <si>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</si>
  <si>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</si>
  <si>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</si>
  <si>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</si>
  <si>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</si>
  <si>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</si>
  <si>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</si>
  <si>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</si>
  <si>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</si>
  <si>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</si>
  <si>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</si>
  <si>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</si>
  <si>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</si>
  <si>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</si>
  <si>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</si>
  <si>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</si>
  <si>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</si>
  <si>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</si>
  <si>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</si>
  <si>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</si>
  <si>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</si>
  <si>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</si>
  <si>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</si>
  <si>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</si>
  <si>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</si>
  <si>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</si>
  <si>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</si>
  <si>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</si>
  <si>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</si>
  <si>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</si>
  <si>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</si>
  <si>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</si>
  <si>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</si>
  <si>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</si>
  <si>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</si>
  <si>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</si>
  <si>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</si>
  <si>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</si>
  <si>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</si>
  <si>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</si>
  <si>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</si>
  <si>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</si>
  <si>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</si>
  <si>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</si>
  <si>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</si>
  <si>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</si>
  <si>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</si>
  <si>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</si>
  <si>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</si>
  <si>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</si>
  <si>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</si>
  <si>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</si>
  <si>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</si>
  <si>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</si>
  <si>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</si>
  <si>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</si>
  <si>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</si>
  <si>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</si>
  <si>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</si>
  <si>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</si>
  <si>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</si>
  <si>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</si>
  <si>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</si>
  <si>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</si>
  <si>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</si>
  <si>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</si>
  <si>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</si>
  <si>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</si>
  <si>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</si>
  <si>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</si>
  <si>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</si>
  <si>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</si>
  <si>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</si>
  <si>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</si>
  <si>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</si>
  <si>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</si>
  <si>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</si>
  <si>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</si>
  <si>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</si>
  <si>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</si>
  <si>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</si>
  <si>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</si>
  <si>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</si>
  <si>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</si>
  <si>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</si>
  <si>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</si>
  <si>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</si>
  <si>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</si>
  <si>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</si>
  <si>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</si>
  <si>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</si>
  <si>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</si>
  <si>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</si>
  <si>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</si>
  <si>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</si>
  <si>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</si>
  <si>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</si>
  <si>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</si>
  <si>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</si>
  <si>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</si>
  <si>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</si>
  <si>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</si>
  <si>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</si>
  <si>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</si>
  <si>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</si>
  <si>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</si>
  <si>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</si>
  <si>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</si>
  <si>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</si>
  <si>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</si>
  <si>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</si>
  <si>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</si>
  <si>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</si>
  <si>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</si>
  <si>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</si>
  <si>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</si>
  <si>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</si>
  <si>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</si>
  <si>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</si>
  <si>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</si>
  <si>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</si>
  <si>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</si>
  <si>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</si>
  <si>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</si>
  <si>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</si>
  <si>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</si>
  <si>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</si>
  <si>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</si>
  <si>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</si>
  <si>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</si>
  <si>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</si>
  <si>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</si>
  <si>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</si>
  <si>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</si>
  <si>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</si>
  <si>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</si>
  <si>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</si>
  <si>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</si>
  <si>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</si>
  <si>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</si>
  <si>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</si>
  <si>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</si>
  <si>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</si>
  <si>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</si>
  <si>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</si>
  <si>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</si>
  <si>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</si>
  <si>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</si>
  <si>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</si>
  <si>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</si>
  <si>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</si>
  <si>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</si>
  <si>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</si>
  <si>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</si>
  <si>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</si>
  <si>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</si>
  <si>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</si>
  <si>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</si>
  <si>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</si>
  <si>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</si>
  <si>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</si>
  <si>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</si>
  <si>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</si>
  <si>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</si>
  <si>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</si>
  <si>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</si>
  <si>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</si>
  <si>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</si>
  <si>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</si>
  <si>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</si>
  <si>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</si>
  <si>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</si>
  <si>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</si>
  <si>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</si>
  <si>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</si>
  <si>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</si>
  <si>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</si>
  <si>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</si>
  <si>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</si>
  <si>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</si>
  <si>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</si>
  <si>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</si>
  <si>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</si>
  <si>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</si>
  <si>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</si>
  <si>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</si>
  <si>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</si>
  <si>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</si>
  <si>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</si>
  <si>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</si>
  <si>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</si>
  <si>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</si>
  <si>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</si>
  <si>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</si>
  <si>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</si>
  <si>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</si>
  <si>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</si>
  <si>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</si>
  <si>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</si>
  <si>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</si>
  <si>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</si>
  <si>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</si>
  <si>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</si>
  <si>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</si>
  <si>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</si>
  <si>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</si>
  <si>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</si>
  <si>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</si>
  <si>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</si>
  <si>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</si>
  <si>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</si>
  <si>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</si>
  <si>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</si>
  <si>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</si>
  <si>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</si>
  <si>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</si>
  <si>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</si>
  <si>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</si>
  <si>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</si>
  <si>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</si>
  <si>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</si>
  <si>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</si>
  <si>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</si>
  <si>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</si>
  <si>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</si>
  <si>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</si>
  <si>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</si>
  <si>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</si>
  <si>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</si>
  <si>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</si>
  <si>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</si>
  <si>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</si>
  <si>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</si>
  <si>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</si>
  <si>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</si>
  <si>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</si>
  <si>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</si>
  <si>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</si>
  <si>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</si>
  <si>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</si>
  <si>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</si>
  <si>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</si>
  <si>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</si>
  <si>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</si>
  <si>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</si>
  <si>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</si>
  <si>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</si>
  <si>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</si>
  <si>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</si>
  <si>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</si>
  <si>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</si>
  <si>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</si>
  <si>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</si>
  <si>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</si>
  <si>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</si>
  <si>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</si>
  <si>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</si>
  <si>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</si>
  <si>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</si>
  <si>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</si>
  <si>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</si>
  <si>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</si>
  <si>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</si>
  <si>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</si>
  <si>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</si>
  <si>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</si>
  <si>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</si>
  <si>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</si>
  <si>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</si>
  <si>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</si>
  <si>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</si>
  <si>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</si>
  <si>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</si>
  <si>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</si>
  <si>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</si>
  <si>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</si>
  <si>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</si>
  <si>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</si>
  <si>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</si>
  <si>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</si>
  <si>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</si>
  <si>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</si>
  <si>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</si>
  <si>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</si>
  <si>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</si>
  <si>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</si>
  <si>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</si>
  <si>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</si>
  <si>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</si>
  <si>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</si>
  <si>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</si>
  <si>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</si>
  <si>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</si>
  <si>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</si>
  <si>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</si>
  <si>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</si>
  <si>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</si>
  <si>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</si>
  <si>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</si>
  <si>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</si>
  <si>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</si>
  <si>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</si>
  <si>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</si>
  <si>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</si>
  <si>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</si>
  <si>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</si>
  <si>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</si>
  <si>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</si>
  <si>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</si>
  <si>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</si>
  <si>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</si>
  <si>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</si>
  <si>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</si>
  <si>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</si>
  <si>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</si>
  <si>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</si>
  <si>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</si>
  <si>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</si>
  <si>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</si>
  <si>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</si>
  <si>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</si>
  <si>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</si>
  <si>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</si>
  <si>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</si>
  <si>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</si>
  <si>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</si>
  <si>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</si>
  <si>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</si>
  <si>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</si>
  <si>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</si>
  <si>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</si>
  <si>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</si>
  <si>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</si>
  <si>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</si>
  <si>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</si>
  <si>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</si>
  <si>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</si>
  <si>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</si>
  <si>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</si>
  <si>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</si>
  <si>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</si>
  <si>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</si>
  <si>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</si>
  <si>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</si>
  <si>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</si>
  <si>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</si>
  <si>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</si>
  <si>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</si>
  <si>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</si>
  <si>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</si>
  <si>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</si>
  <si>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</si>
  <si>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</si>
  <si>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</si>
  <si>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</si>
  <si>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</si>
  <si>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</si>
  <si>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</si>
  <si>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</si>
  <si>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</si>
  <si>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</si>
  <si>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</si>
  <si>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</si>
  <si>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</si>
  <si>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</si>
  <si>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</si>
  <si>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</si>
  <si>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</si>
  <si>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</si>
  <si>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</si>
  <si>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</si>
  <si>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</si>
  <si>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</si>
  <si>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</si>
  <si>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</si>
  <si>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</si>
  <si>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</si>
  <si>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</si>
  <si>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</si>
  <si>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</si>
  <si>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</si>
  <si>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</si>
  <si>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</si>
  <si>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</si>
  <si>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</si>
  <si>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</si>
  <si>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</si>
  <si>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</si>
  <si>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</si>
  <si>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</si>
  <si>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</si>
  <si>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</si>
  <si>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</si>
  <si>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</si>
  <si>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</si>
  <si>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</si>
  <si>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</si>
  <si>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</si>
  <si>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</si>
  <si>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</si>
  <si>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</si>
  <si>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</si>
  <si>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</si>
  <si>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</si>
  <si>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</si>
  <si>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</si>
  <si>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</si>
  <si>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</si>
  <si>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</si>
  <si>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</si>
  <si>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</si>
  <si>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</si>
  <si>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</si>
  <si>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</si>
  <si>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</si>
  <si>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</si>
  <si>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</si>
  <si>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</si>
  <si>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</si>
  <si>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</si>
  <si>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</si>
  <si>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</si>
  <si>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</si>
  <si>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</si>
  <si>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</si>
  <si>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</si>
  <si>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</si>
  <si>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</si>
  <si>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</si>
  <si>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</si>
  <si>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</si>
  <si>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</si>
  <si>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</si>
  <si>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</si>
  <si>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</si>
  <si>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</si>
  <si>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</si>
  <si>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</si>
  <si>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</si>
  <si>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</si>
  <si>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</si>
  <si>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</si>
  <si>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</si>
  <si>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</si>
  <si>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</si>
  <si>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</si>
  <si>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</si>
  <si>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</si>
  <si>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</si>
  <si>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</si>
  <si>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</si>
  <si>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</si>
  <si>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</si>
  <si>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</si>
  <si>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</si>
  <si>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</si>
  <si>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</si>
  <si>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</si>
  <si>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</si>
  <si>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</si>
  <si>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</si>
  <si>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</si>
  <si>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</si>
  <si>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</si>
  <si>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</si>
  <si>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</si>
  <si>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</si>
  <si>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</si>
  <si>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</si>
  <si>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</si>
  <si>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</si>
  <si>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</si>
  <si>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</si>
  <si>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</si>
  <si>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</si>
  <si>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</si>
  <si>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</si>
  <si>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</si>
  <si>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</si>
  <si>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</si>
  <si>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</si>
  <si>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</si>
  <si>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</si>
  <si>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</si>
  <si>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</si>
  <si>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</si>
  <si>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</si>
  <si>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</si>
  <si>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</si>
  <si>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</si>
  <si>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</si>
  <si>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</si>
  <si>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</si>
  <si>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</si>
  <si>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</si>
  <si>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</si>
  <si>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</si>
  <si>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</si>
  <si>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</si>
  <si>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</si>
  <si>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</si>
  <si>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</si>
  <si>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</si>
  <si>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</si>
  <si>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</si>
  <si>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</si>
  <si>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</si>
  <si>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</si>
  <si>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</si>
  <si>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</si>
  <si>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</si>
  <si>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</si>
  <si>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</si>
  <si>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</si>
  <si>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</si>
  <si>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</si>
  <si>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</si>
  <si>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</si>
  <si>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</si>
  <si>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</si>
  <si>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</si>
  <si>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</si>
  <si>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</si>
  <si>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</si>
  <si>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</si>
  <si>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</si>
  <si>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</si>
  <si>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</si>
  <si>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</si>
  <si>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</si>
  <si>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</si>
  <si>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</si>
  <si>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</si>
  <si>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</si>
  <si>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</si>
  <si>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</si>
  <si>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</si>
  <si>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</si>
  <si>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</si>
  <si>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</si>
  <si>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</si>
  <si>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</si>
  <si>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</si>
  <si>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</si>
  <si>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</si>
  <si>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</si>
  <si>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</si>
  <si>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</si>
  <si>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</si>
  <si>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</si>
  <si>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</si>
  <si>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</si>
  <si>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</si>
  <si>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</si>
  <si>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</si>
  <si>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</si>
  <si>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</si>
  <si>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</si>
  <si>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</si>
  <si>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</si>
  <si>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</si>
  <si>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</si>
  <si>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</si>
  <si>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</si>
  <si>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</si>
  <si>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</si>
  <si>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</si>
  <si>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</si>
  <si>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</si>
  <si>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</si>
  <si>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</si>
  <si>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</si>
  <si>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</si>
  <si>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</si>
  <si>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</si>
  <si>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</si>
  <si>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</si>
  <si>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</si>
  <si>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</si>
  <si>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</si>
  <si>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</si>
  <si>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</si>
  <si>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</si>
  <si>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</si>
  <si>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</si>
  <si>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</si>
  <si>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</si>
  <si>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</si>
  <si>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</si>
  <si>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</si>
  <si>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</si>
  <si>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</si>
  <si>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</si>
  <si>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</si>
  <si>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</si>
  <si>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</si>
  <si>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</si>
  <si>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</si>
  <si>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</si>
  <si>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</si>
  <si>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</si>
  <si>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</si>
  <si>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</si>
  <si>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</si>
  <si>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</si>
  <si>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</si>
  <si>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</si>
  <si>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</si>
  <si>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</si>
  <si>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</si>
  <si>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</si>
  <si>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</si>
  <si>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</si>
  <si>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</si>
  <si>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</si>
  <si>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</si>
  <si>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</si>
  <si>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</si>
  <si>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</si>
  <si>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</si>
  <si>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</si>
  <si>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</si>
  <si>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</si>
  <si>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</si>
  <si>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</si>
  <si>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</si>
  <si>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</si>
  <si>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</si>
  <si>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</si>
  <si>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</si>
  <si>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</si>
  <si>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</si>
  <si>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</si>
  <si>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</si>
  <si>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</si>
  <si>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</si>
  <si>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</si>
  <si>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</si>
  <si>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</si>
  <si>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</si>
  <si>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</si>
  <si>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</si>
  <si>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</si>
  <si>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</si>
  <si>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</si>
  <si>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</si>
  <si>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</si>
  <si>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</si>
  <si>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</si>
  <si>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</si>
  <si>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</si>
  <si>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</si>
  <si>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</si>
  <si>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</si>
  <si>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</si>
  <si>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</si>
  <si>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</si>
  <si>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</si>
  <si>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</si>
  <si>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</si>
  <si>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</si>
  <si>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</si>
  <si>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</si>
  <si>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</si>
  <si>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</si>
  <si>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</si>
  <si>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</si>
  <si>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</si>
  <si>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</si>
  <si>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</si>
  <si>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</si>
  <si>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</si>
  <si>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</si>
  <si>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</si>
  <si>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</si>
  <si>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</si>
  <si>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</si>
  <si>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</si>
  <si>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</si>
  <si>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</si>
  <si>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</si>
  <si>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</si>
  <si>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</si>
  <si>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</si>
  <si>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</si>
  <si>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</si>
  <si>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</si>
  <si>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</si>
  <si>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</si>
  <si>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</si>
  <si>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</si>
  <si>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</si>
  <si>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</si>
  <si>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</si>
  <si>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</si>
  <si>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</si>
  <si>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</si>
  <si>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</si>
  <si>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</si>
  <si>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</si>
  <si>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</si>
  <si>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</si>
  <si>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</si>
  <si>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</si>
  <si>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</si>
  <si>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</si>
  <si>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</si>
  <si>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</si>
  <si>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</si>
  <si>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</si>
  <si>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</si>
  <si>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</si>
  <si>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</si>
  <si>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</si>
  <si>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</si>
  <si>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</si>
  <si>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</si>
  <si>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</si>
  <si>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</si>
  <si>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</si>
  <si>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</si>
  <si>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</si>
  <si>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</si>
  <si>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</si>
  <si>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</si>
  <si>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</si>
  <si>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</si>
  <si>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</si>
  <si>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</si>
  <si>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</si>
  <si>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</si>
  <si>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</si>
  <si>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</si>
  <si>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</si>
  <si>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</si>
  <si>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</si>
  <si>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</si>
  <si>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</si>
  <si>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</si>
  <si>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</si>
  <si>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</si>
  <si>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</si>
  <si>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</si>
  <si>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</si>
  <si>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</si>
  <si>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</si>
  <si>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</si>
  <si>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</si>
  <si>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</si>
  <si>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</si>
  <si>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</si>
  <si>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</si>
  <si>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</si>
  <si>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</si>
  <si>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</si>
  <si>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</si>
  <si>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</si>
  <si>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</si>
  <si>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</si>
  <si>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</si>
  <si>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</si>
  <si>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</si>
  <si>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</si>
  <si>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</si>
  <si>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</si>
  <si>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</si>
  <si>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</si>
  <si>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</si>
  <si>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</si>
  <si>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</si>
  <si>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</si>
  <si>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</si>
  <si>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</si>
  <si>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</si>
  <si>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</si>
  <si>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</si>
  <si>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</si>
  <si>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</si>
  <si>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</si>
  <si>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</si>
  <si>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</si>
  <si>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</si>
  <si>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</si>
  <si>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</si>
  <si>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</si>
  <si>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</si>
  <si>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</si>
  <si>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</si>
  <si>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</si>
  <si>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</si>
  <si>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</si>
  <si>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</si>
  <si>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</si>
  <si>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</si>
  <si>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</si>
  <si>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</si>
  <si>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</si>
  <si>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</si>
  <si>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</si>
  <si>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</si>
  <si>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</si>
  <si>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</si>
  <si>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</si>
  <si>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</si>
  <si>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</si>
  <si>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</si>
  <si>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</si>
  <si>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</si>
  <si>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</si>
  <si>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</si>
  <si>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</si>
  <si>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</si>
  <si>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</si>
  <si>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</si>
  <si>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</si>
  <si>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</si>
  <si>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</si>
  <si>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</si>
  <si>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</si>
  <si>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</si>
  <si>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</si>
  <si>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</si>
  <si>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</si>
  <si>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</si>
  <si>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</si>
  <si>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</si>
  <si>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</si>
  <si>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</si>
  <si>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</si>
  <si>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</si>
  <si>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</si>
  <si>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</si>
  <si>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</si>
  <si>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</si>
  <si>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</si>
  <si>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</si>
  <si>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</si>
  <si>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</si>
  <si>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</si>
  <si>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</si>
  <si>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</si>
  <si>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</si>
  <si>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</si>
  <si>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</si>
  <si>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</si>
  <si>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</si>
  <si>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</si>
  <si>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</si>
  <si>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</si>
  <si>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</si>
  <si>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</si>
  <si>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</si>
  <si>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</si>
  <si>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</si>
  <si>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</si>
  <si>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</si>
  <si>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</si>
  <si>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</si>
  <si>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</si>
  <si>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</si>
  <si>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</si>
  <si>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</si>
  <si>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</si>
  <si>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</si>
  <si>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</si>
  <si>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</si>
  <si>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</si>
  <si>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</si>
  <si>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</si>
  <si>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</si>
  <si>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</si>
  <si>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</si>
  <si>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</si>
  <si>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</si>
  <si>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</si>
  <si>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</si>
  <si>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</si>
  <si>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</si>
  <si>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</si>
  <si>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</si>
  <si>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</si>
  <si>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</si>
  <si>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</si>
  <si>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</si>
  <si>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</si>
  <si>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</si>
  <si>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</si>
  <si>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</si>
  <si>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</si>
  <si>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</si>
  <si>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</si>
  <si>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</si>
  <si>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</si>
  <si>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</si>
  <si>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</si>
  <si>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</si>
  <si>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</si>
  <si>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</si>
  <si>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</si>
  <si>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</si>
  <si>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</si>
  <si>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</si>
  <si>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</si>
  <si>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</si>
  <si>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</si>
  <si>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</si>
  <si>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</si>
  <si>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</si>
  <si>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</si>
  <si>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</si>
  <si>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</si>
  <si>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</si>
  <si>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</si>
  <si>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</si>
  <si>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</si>
  <si>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</si>
  <si>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</si>
  <si>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</si>
  <si>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</si>
  <si>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</si>
  <si>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</si>
  <si>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</si>
  <si>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</si>
  <si>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</si>
  <si>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</si>
  <si>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</si>
  <si>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</si>
  <si>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</si>
  <si>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</si>
  <si>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</si>
  <si>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</si>
  <si>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</si>
  <si>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</si>
  <si>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</si>
  <si>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</si>
  <si>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</si>
  <si>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</si>
  <si>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</si>
  <si>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</si>
  <si>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</si>
  <si>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</si>
  <si>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</si>
  <si>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</si>
  <si>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</si>
  <si>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</si>
  <si>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</si>
  <si>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</si>
  <si>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</si>
  <si>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</si>
  <si>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</si>
  <si>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</si>
  <si>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</si>
  <si>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</si>
  <si>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</si>
  <si>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</si>
  <si>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</si>
  <si>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</si>
  <si>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</si>
  <si>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</si>
  <si>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</si>
  <si>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</si>
  <si>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</si>
  <si>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</si>
  <si>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</si>
  <si>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</si>
  <si>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</si>
  <si>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</si>
  <si>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</si>
  <si>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</si>
  <si>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</si>
  <si>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</si>
  <si>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</si>
  <si>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</si>
  <si>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</si>
  <si>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</si>
  <si>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</si>
  <si>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</si>
  <si>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</si>
  <si>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</si>
  <si>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</si>
  <si>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</si>
  <si>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</si>
  <si>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</si>
  <si>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</si>
  <si>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</si>
  <si>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</si>
  <si>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</si>
  <si>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</si>
  <si>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</si>
  <si>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</si>
  <si>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</si>
  <si>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</si>
  <si>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</si>
  <si>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</si>
  <si>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</si>
  <si>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</si>
  <si>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</si>
  <si>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</si>
  <si>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</si>
  <si>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</si>
  <si>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</si>
  <si>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</si>
  <si>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</si>
  <si>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</si>
  <si>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</si>
  <si>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</si>
  <si>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</si>
  <si>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</si>
  <si>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</si>
  <si>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</si>
  <si>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</si>
  <si>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</si>
  <si>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</si>
  <si>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</si>
  <si>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</si>
  <si>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</si>
  <si>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</si>
  <si>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</si>
  <si>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</si>
  <si>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</si>
  <si>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</si>
  <si>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</si>
  <si>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</si>
  <si>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</si>
  <si>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</si>
  <si>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</si>
  <si>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</si>
  <si>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</si>
  <si>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</si>
  <si>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</si>
  <si>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</si>
  <si>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</si>
  <si>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</si>
  <si>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</si>
  <si>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</si>
  <si>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</si>
  <si>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</si>
  <si>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</si>
  <si>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</si>
  <si>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</si>
  <si>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</si>
  <si>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</si>
  <si>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</si>
  <si>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</si>
  <si>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</si>
  <si>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</si>
  <si>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</si>
  <si>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</si>
  <si>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</si>
  <si>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</si>
  <si>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</si>
  <si>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</si>
  <si>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</si>
  <si>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</si>
  <si>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</si>
  <si>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</si>
  <si>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</si>
  <si>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</si>
  <si>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</si>
  <si>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</si>
  <si>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</si>
  <si>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</si>
  <si>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</si>
  <si>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</si>
  <si>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</si>
  <si>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</si>
  <si>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</si>
  <si>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</si>
  <si>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</si>
  <si>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</si>
  <si>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</si>
  <si>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</si>
  <si>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</si>
  <si>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</si>
  <si>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</si>
  <si>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</si>
  <si>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</si>
  <si>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</si>
  <si>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</si>
  <si>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</si>
  <si>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</si>
  <si>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</si>
  <si>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</si>
  <si>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</si>
  <si>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</si>
  <si>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</si>
  <si>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</si>
  <si>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</si>
  <si>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</si>
  <si>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</si>
  <si>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</si>
  <si>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</si>
  <si>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</si>
  <si>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</si>
  <si>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</si>
  <si>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</si>
  <si>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</si>
  <si>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</si>
  <si>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</si>
  <si>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</si>
  <si>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</si>
  <si>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</si>
  <si>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</si>
  <si>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</si>
  <si>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</si>
  <si>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</si>
  <si>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</si>
  <si>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</si>
  <si>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</si>
  <si>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</si>
  <si>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</si>
  <si>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</si>
  <si>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</si>
  <si>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</si>
  <si>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</si>
  <si>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</si>
  <si>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</si>
  <si>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</si>
  <si>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</si>
  <si>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</si>
  <si>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</si>
  <si>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</si>
  <si>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</si>
  <si>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</si>
  <si>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</si>
  <si>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</si>
  <si>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</si>
  <si>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</si>
  <si>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</si>
  <si>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</si>
  <si>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</si>
  <si>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</si>
  <si>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</si>
  <si>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</si>
  <si>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</si>
  <si>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</si>
  <si>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</si>
  <si>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</si>
  <si>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</si>
  <si>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</si>
  <si>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</si>
  <si>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</si>
  <si>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</si>
  <si>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</si>
  <si>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</si>
  <si>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</si>
  <si>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</si>
  <si>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</si>
  <si>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</si>
  <si>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</si>
  <si>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</si>
  <si>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</si>
  <si>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</si>
  <si>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</si>
  <si>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</si>
  <si>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</si>
  <si>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</si>
  <si>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</si>
  <si>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</si>
  <si>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</si>
  <si>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</si>
  <si>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</si>
  <si>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</si>
  <si>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</si>
  <si>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</si>
  <si>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</si>
  <si>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</si>
  <si>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</si>
  <si>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</si>
  <si>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</si>
  <si>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</si>
  <si>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</si>
  <si>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</si>
  <si>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</si>
  <si>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</si>
  <si>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</si>
  <si>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</si>
  <si>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</si>
  <si>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</si>
  <si>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</si>
  <si>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</si>
  <si>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</si>
  <si>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</si>
  <si>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</si>
  <si>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</si>
  <si>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</si>
  <si>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</si>
  <si>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</si>
  <si>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</si>
  <si>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</si>
  <si>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</si>
  <si>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</si>
  <si>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</si>
  <si>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</si>
  <si>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</si>
  <si>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</si>
  <si>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</si>
  <si>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</si>
  <si>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</si>
  <si>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</si>
  <si>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</si>
  <si>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</si>
  <si>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</si>
  <si>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</si>
  <si>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</si>
  <si>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</si>
  <si>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</si>
  <si>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</si>
  <si>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</si>
  <si>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</si>
  <si>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</si>
  <si>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</si>
  <si>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</si>
  <si>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</si>
  <si>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</si>
  <si>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</si>
  <si>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</si>
  <si>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</si>
  <si>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</si>
  <si>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</si>
  <si>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</si>
  <si>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</si>
  <si>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</si>
  <si>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</si>
  <si>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</si>
  <si>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</si>
  <si>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</si>
  <si>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</si>
  <si>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</si>
  <si>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</si>
  <si>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</si>
  <si>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</si>
  <si>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</si>
  <si>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</si>
  <si>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</si>
  <si>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</si>
  <si>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</si>
  <si>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</si>
  <si>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</si>
  <si>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</si>
  <si>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</si>
  <si>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</si>
  <si>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</si>
  <si>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</si>
  <si>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</si>
  <si>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</si>
  <si>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</si>
  <si>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</si>
  <si>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</si>
  <si>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</si>
  <si>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</si>
  <si>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</si>
  <si>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</si>
  <si>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</si>
  <si>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</si>
  <si>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</si>
  <si>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</si>
  <si>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</si>
  <si>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</si>
  <si>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</si>
  <si>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</si>
  <si>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</si>
  <si>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</si>
  <si>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</si>
  <si>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</si>
  <si>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</si>
  <si>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</si>
  <si>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</si>
  <si>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</si>
  <si>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</si>
  <si>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</si>
  <si>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</si>
  <si>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</si>
  <si>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</si>
  <si>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</si>
  <si>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</si>
  <si>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</si>
  <si>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</si>
  <si>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</si>
  <si>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</si>
  <si>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</si>
  <si>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</si>
  <si>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</si>
  <si>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</si>
  <si>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</si>
  <si>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</si>
  <si>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</si>
  <si>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</si>
  <si>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</si>
  <si>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</si>
  <si>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</si>
  <si>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</si>
  <si>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</si>
  <si>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</si>
  <si>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</si>
  <si>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</si>
  <si>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</si>
  <si>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</si>
  <si>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</si>
  <si>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</si>
  <si>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</si>
  <si>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</si>
  <si>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</si>
  <si>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</si>
  <si>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</si>
  <si>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</si>
  <si>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</si>
  <si>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</si>
  <si>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</si>
  <si>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</si>
  <si>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</si>
  <si>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</si>
  <si>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</si>
  <si>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</si>
  <si>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</si>
  <si>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</si>
  <si>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</si>
  <si>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</si>
  <si>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</si>
  <si>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</si>
  <si>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</si>
  <si>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</si>
  <si>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</si>
  <si>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</si>
  <si>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</si>
  <si>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</si>
  <si>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</si>
  <si>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</si>
  <si>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</si>
  <si>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</si>
  <si>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</si>
  <si>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</si>
  <si>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</si>
  <si>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</si>
  <si>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</si>
  <si>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</si>
  <si>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</si>
  <si>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</si>
  <si>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</si>
  <si>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</si>
  <si>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</si>
  <si>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</si>
  <si>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</si>
  <si>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</si>
  <si>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</si>
  <si>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</si>
  <si>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</si>
  <si>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</si>
  <si>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</si>
  <si>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</si>
  <si>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</si>
  <si>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</si>
  <si>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</si>
  <si>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</si>
  <si>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</si>
  <si>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</si>
  <si>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</si>
  <si>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</si>
  <si>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</si>
  <si>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</si>
  <si>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</si>
  <si>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</si>
  <si>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</si>
  <si>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</si>
  <si>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</si>
  <si>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</si>
  <si>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</si>
  <si>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</si>
  <si>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</si>
  <si>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</si>
  <si>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</si>
  <si>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</si>
  <si>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</si>
  <si>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</si>
  <si>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</si>
  <si>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</si>
  <si>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</si>
  <si>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</si>
  <si>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</si>
  <si>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</si>
  <si>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</si>
  <si>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</si>
  <si>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</si>
  <si>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</si>
  <si>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</si>
  <si>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</si>
  <si>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</si>
  <si>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</si>
  <si>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</si>
  <si>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</si>
  <si>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</si>
  <si>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</si>
  <si>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</si>
  <si>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</si>
  <si>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</si>
  <si>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</si>
  <si>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</si>
  <si>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</si>
  <si>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</si>
  <si>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</si>
  <si>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</si>
  <si>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</si>
  <si>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</si>
  <si>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</si>
  <si>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</si>
  <si>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</si>
  <si>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</si>
  <si>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</si>
  <si>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</si>
  <si>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</si>
  <si>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</si>
  <si>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</si>
  <si>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</si>
  <si>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</si>
  <si>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</si>
  <si>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</si>
  <si>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</si>
  <si>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</si>
  <si>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</si>
  <si>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</si>
  <si>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</si>
  <si>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</si>
  <si>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</si>
  <si>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</si>
  <si>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</si>
  <si>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</si>
  <si>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</si>
  <si>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</si>
  <si>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</si>
  <si>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</si>
  <si>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</si>
  <si>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</si>
  <si>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</si>
  <si>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</si>
  <si>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</si>
  <si>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</si>
  <si>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</si>
  <si>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</si>
  <si>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</si>
  <si>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</si>
  <si>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</si>
  <si>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</si>
  <si>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</si>
  <si>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</si>
  <si>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</si>
  <si>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</si>
  <si>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</si>
  <si>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</si>
  <si>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</si>
  <si>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</si>
  <si>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</si>
  <si>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</si>
  <si>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</si>
  <si>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</si>
  <si>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</si>
  <si>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</si>
  <si>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</si>
  <si>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</si>
  <si>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</si>
  <si>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</si>
  <si>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</si>
  <si>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</si>
  <si>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</si>
  <si>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</si>
  <si>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</si>
  <si>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</si>
  <si>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</si>
  <si>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</si>
  <si>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</si>
  <si>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</si>
  <si>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</si>
  <si>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</si>
  <si>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</si>
  <si>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</si>
  <si>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</si>
  <si>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</si>
  <si>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</si>
  <si>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</si>
  <si>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</si>
  <si>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</si>
  <si>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</si>
  <si>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</si>
  <si>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</si>
  <si>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</si>
  <si>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</si>
  <si>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</si>
  <si>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</si>
  <si>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</si>
  <si>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</si>
  <si>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</si>
  <si>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</si>
  <si>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</si>
  <si>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</si>
  <si>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</si>
  <si>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</si>
  <si>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</si>
  <si>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</si>
  <si>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</si>
  <si>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</si>
  <si>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</si>
  <si>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</si>
  <si>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</si>
  <si>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</si>
  <si>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</si>
  <si>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</si>
  <si>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</si>
  <si>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</si>
  <si>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</si>
  <si>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</si>
  <si>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</si>
  <si>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</si>
  <si>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</si>
  <si>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</si>
  <si>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</si>
  <si>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</si>
  <si>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</si>
  <si>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</si>
  <si>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</si>
  <si>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</si>
  <si>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</si>
  <si>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</si>
  <si>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</si>
  <si>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</si>
  <si>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</si>
  <si>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</si>
  <si>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</si>
  <si>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</si>
  <si>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</si>
  <si>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</si>
  <si>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</si>
  <si>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</si>
  <si>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</si>
  <si>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</si>
  <si>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</si>
  <si>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</si>
  <si>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</si>
  <si>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</si>
  <si>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</si>
  <si>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</si>
  <si>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</si>
  <si>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</si>
  <si>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</si>
  <si>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</si>
  <si>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</si>
  <si>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</si>
  <si>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</si>
  <si>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</si>
  <si>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</si>
  <si>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</si>
  <si>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</si>
  <si>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</si>
  <si>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</si>
  <si>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</si>
  <si>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</si>
  <si>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</si>
  <si>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</si>
  <si>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</si>
  <si>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</si>
  <si>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</si>
  <si>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</si>
  <si>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</si>
  <si>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</si>
  <si>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</si>
  <si>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</si>
  <si>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</si>
  <si>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</si>
  <si>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</si>
  <si>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</si>
  <si>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</si>
  <si>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</si>
  <si>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</si>
  <si>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</si>
  <si>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</si>
  <si>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</si>
  <si>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</si>
  <si>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</si>
  <si>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</si>
  <si>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</si>
  <si>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</si>
  <si>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</si>
  <si>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</si>
  <si>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</si>
  <si>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</si>
  <si>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</si>
  <si>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</si>
  <si>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</si>
  <si>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</si>
  <si>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</si>
  <si>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</si>
  <si>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</si>
  <si>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</si>
  <si>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</si>
  <si>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</si>
  <si>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</si>
  <si>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</si>
  <si>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</si>
  <si>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</si>
  <si>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</si>
  <si>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</si>
  <si>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</si>
  <si>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</si>
  <si>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</si>
  <si>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</si>
  <si>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</si>
  <si>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</si>
  <si>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</si>
  <si>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</si>
  <si>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</si>
  <si>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</si>
  <si>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</si>
  <si>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</si>
  <si>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</si>
  <si>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</si>
  <si>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</si>
  <si>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</si>
  <si>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</si>
  <si>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</si>
  <si>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</si>
  <si>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</si>
  <si>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</si>
  <si>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</si>
  <si>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</si>
  <si>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</si>
  <si>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</si>
  <si>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</si>
  <si>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</si>
  <si>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</si>
  <si>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</si>
  <si>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</si>
  <si>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</si>
  <si>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</si>
  <si>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</si>
  <si>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</si>
  <si>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</si>
  <si>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</si>
  <si>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</si>
  <si>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</si>
  <si>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</si>
  <si>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</si>
  <si>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</si>
  <si>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</si>
  <si>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</si>
  <si>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</si>
  <si>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</si>
  <si>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</si>
  <si>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</si>
  <si>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</si>
  <si>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</si>
  <si>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</si>
  <si>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</si>
  <si>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</si>
  <si>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</si>
  <si>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</si>
  <si>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</si>
  <si>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</si>
  <si>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</si>
  <si>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</si>
  <si>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</si>
  <si>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</si>
  <si>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</si>
  <si>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</si>
  <si>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</si>
  <si>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</si>
  <si>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</si>
  <si>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</si>
  <si>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</si>
  <si>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</si>
  <si>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</si>
  <si>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</si>
  <si>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</si>
  <si>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</si>
  <si>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</si>
  <si>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</si>
  <si>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</si>
  <si>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</si>
  <si>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</si>
  <si>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</si>
  <si>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</si>
  <si>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</si>
  <si>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</si>
  <si>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</si>
  <si>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</si>
  <si>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</si>
  <si>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</si>
  <si>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</si>
  <si>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</si>
  <si>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</si>
  <si>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</si>
  <si>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</si>
  <si>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</si>
  <si>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</si>
  <si>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</si>
  <si>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</si>
  <si>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</si>
  <si>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</si>
  <si>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</si>
  <si>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</si>
  <si>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</si>
  <si>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</si>
  <si>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</si>
  <si>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</si>
  <si>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</si>
  <si>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</si>
  <si>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</si>
  <si>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</si>
  <si>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</si>
  <si>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</si>
  <si>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</si>
  <si>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</si>
  <si>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</si>
  <si>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</si>
  <si>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</si>
  <si>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</si>
  <si>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</si>
  <si>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</si>
  <si>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</si>
  <si>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</si>
  <si>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</si>
  <si>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</si>
  <si>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</si>
  <si>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</si>
  <si>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</si>
  <si>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</si>
  <si>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</si>
  <si>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</si>
  <si>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</si>
  <si>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</si>
  <si>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</si>
  <si>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</si>
  <si>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</si>
  <si>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</si>
  <si>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</si>
  <si>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</si>
  <si>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</si>
  <si>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</si>
  <si>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</si>
  <si>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</si>
  <si>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</si>
  <si>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</si>
  <si>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</si>
  <si>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</si>
  <si>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</si>
  <si>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</si>
  <si>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</si>
  <si>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</si>
  <si>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</si>
  <si>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</si>
  <si>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</si>
  <si>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</si>
  <si>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</si>
  <si>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</si>
  <si>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</si>
  <si>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</si>
  <si>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</si>
  <si>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</si>
  <si>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</si>
  <si>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</si>
  <si>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</si>
  <si>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</si>
  <si>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</si>
  <si>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</si>
  <si>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</si>
  <si>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</si>
  <si>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</si>
  <si>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</si>
  <si>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</si>
  <si>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</si>
  <si>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</si>
  <si>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</si>
  <si>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</si>
  <si>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</si>
  <si>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</si>
  <si>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</si>
  <si>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</si>
  <si>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</si>
  <si>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</si>
  <si>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</si>
  <si>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</si>
  <si>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</si>
  <si>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</si>
  <si>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</si>
  <si>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</si>
  <si>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</si>
  <si>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</si>
  <si>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</si>
  <si>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</si>
  <si>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</si>
  <si>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</si>
  <si>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</si>
  <si>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</si>
  <si>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</si>
  <si>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</si>
  <si>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</si>
  <si>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</si>
  <si>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</si>
  <si>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</si>
  <si>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</si>
  <si>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</si>
  <si>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</si>
  <si>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</si>
  <si>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</si>
  <si>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</si>
  <si>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</si>
  <si>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</si>
  <si>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</si>
  <si>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</si>
  <si>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</si>
  <si>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</si>
  <si>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</si>
  <si>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</si>
  <si>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</si>
  <si>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</si>
  <si>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</si>
  <si>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</si>
  <si>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</si>
  <si>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</si>
  <si>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</si>
  <si>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</si>
  <si>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</si>
  <si>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</si>
  <si>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</si>
  <si>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</si>
  <si>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</si>
  <si>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</si>
  <si>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</si>
  <si>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</si>
  <si>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</si>
  <si>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</si>
  <si>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</si>
  <si>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</si>
  <si>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</si>
  <si>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</si>
  <si>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</si>
  <si>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</si>
  <si>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</si>
  <si>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</si>
  <si>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</si>
  <si>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</si>
  <si>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</si>
  <si>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</si>
  <si>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</si>
  <si>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</si>
  <si>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</si>
  <si>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</si>
  <si>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</si>
  <si>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</si>
  <si>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</si>
  <si>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</si>
  <si>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</si>
  <si>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</si>
  <si>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</si>
  <si>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</si>
  <si>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</si>
  <si>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</si>
  <si>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</si>
  <si>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</si>
  <si>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</si>
  <si>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</si>
  <si>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</si>
  <si>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</si>
  <si>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</si>
  <si>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</si>
  <si>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</si>
  <si>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</si>
  <si>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</si>
  <si>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</si>
  <si>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</si>
  <si>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</si>
  <si>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</si>
  <si>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</si>
  <si>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</si>
  <si>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</si>
  <si>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</si>
  <si>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</si>
  <si>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</si>
  <si>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</si>
  <si>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</si>
  <si>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</si>
  <si>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</si>
  <si>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</si>
  <si>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</si>
  <si>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</si>
  <si>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</si>
  <si>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</si>
  <si>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</si>
  <si>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</si>
  <si>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</si>
  <si>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</si>
  <si>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</si>
  <si>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</si>
  <si>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</si>
  <si>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</si>
  <si>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</si>
  <si>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</si>
  <si>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</si>
  <si>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</si>
  <si>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</si>
  <si>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</si>
  <si>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</si>
  <si>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</si>
  <si>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</si>
  <si>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</si>
  <si>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</si>
  <si>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</si>
  <si>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</si>
  <si>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</si>
  <si>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</si>
  <si>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</si>
  <si>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</si>
  <si>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</si>
  <si>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</si>
  <si>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</si>
  <si>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</si>
  <si>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</si>
  <si>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</si>
  <si>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</si>
  <si>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</si>
  <si>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</si>
  <si>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</si>
  <si>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</si>
  <si>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</si>
  <si>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</si>
  <si>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</si>
  <si>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</si>
  <si>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</si>
  <si>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</si>
  <si>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</si>
  <si>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</si>
  <si>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</si>
  <si>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</si>
  <si>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</si>
  <si>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</si>
  <si>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</si>
  <si>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</si>
  <si>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</si>
  <si>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</si>
  <si>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</si>
  <si>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</si>
  <si>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</si>
  <si>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</si>
  <si>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</si>
  <si>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</si>
  <si>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</si>
  <si>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</si>
  <si>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</si>
  <si>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</si>
  <si>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</si>
  <si>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</si>
  <si>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</si>
  <si>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</si>
  <si>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</si>
  <si>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</si>
  <si>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</si>
  <si>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</si>
  <si>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</si>
  <si>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</si>
  <si>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</si>
  <si>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</si>
  <si>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</si>
  <si>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</si>
  <si>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</si>
  <si>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</si>
  <si>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</si>
  <si>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</si>
  <si>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</si>
  <si>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</si>
  <si>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</si>
  <si>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</si>
  <si>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</si>
  <si>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</si>
  <si>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</si>
  <si>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</si>
  <si>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</si>
  <si>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</si>
  <si>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</si>
  <si>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</si>
  <si>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</si>
  <si>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</si>
  <si>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</si>
  <si>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</si>
  <si>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</si>
  <si>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</si>
  <si>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</si>
  <si>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</si>
  <si>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</si>
  <si>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</si>
  <si>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</si>
  <si>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</si>
  <si>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</si>
  <si>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</si>
  <si>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</si>
  <si>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</si>
  <si>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</si>
  <si>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</si>
  <si>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</si>
  <si>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</si>
  <si>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</si>
  <si>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</si>
  <si>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</si>
  <si>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</si>
  <si>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</si>
  <si>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</si>
  <si>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</si>
  <si>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</si>
  <si>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</si>
  <si>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</si>
  <si>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</si>
  <si>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</si>
  <si>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</si>
  <si>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</si>
  <si>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</si>
  <si>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</si>
  <si>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</si>
  <si>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</si>
  <si>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</si>
  <si>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</si>
  <si>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</si>
  <si>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</si>
  <si>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</si>
  <si>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</si>
  <si>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</si>
  <si>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</si>
  <si>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</si>
  <si>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</si>
  <si>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</si>
  <si>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</si>
  <si>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</si>
  <si>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</si>
  <si>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</si>
  <si>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</si>
  <si>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</si>
  <si>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</si>
  <si>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</si>
  <si>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</si>
  <si>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</si>
  <si>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</si>
  <si>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</si>
  <si>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</si>
  <si>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</si>
  <si>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</si>
  <si>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</si>
  <si>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</si>
  <si>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</si>
  <si>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</si>
  <si>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</si>
  <si>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</si>
  <si>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</si>
  <si>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</si>
  <si>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</si>
  <si>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</si>
  <si>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</si>
  <si>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</si>
  <si>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</si>
  <si>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</si>
  <si>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</si>
  <si>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</si>
  <si>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</si>
  <si>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</si>
  <si>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</si>
  <si>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</si>
  <si>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</si>
  <si>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</si>
  <si>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</si>
  <si>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</si>
  <si>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</si>
  <si>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</si>
  <si>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</si>
  <si>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</si>
  <si>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</si>
  <si>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</si>
  <si>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</si>
  <si>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</si>
  <si>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</si>
  <si>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</si>
  <si>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</si>
  <si>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</si>
  <si>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</si>
  <si>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</si>
  <si>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</si>
  <si>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</si>
  <si>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</si>
  <si>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</si>
  <si>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</si>
  <si>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</si>
  <si>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</si>
  <si>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</si>
  <si>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</si>
  <si>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</si>
  <si>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</si>
  <si>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</si>
  <si>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</si>
  <si>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</si>
  <si>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</si>
  <si>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</si>
  <si>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</si>
  <si>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</si>
  <si>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</si>
  <si>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</si>
  <si>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</si>
  <si>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</si>
  <si>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</si>
  <si>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</si>
  <si>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</si>
  <si>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</si>
  <si>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</si>
  <si>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</si>
  <si>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</si>
  <si>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</si>
  <si>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</si>
  <si>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</si>
  <si>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</si>
  <si>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</si>
  <si>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</si>
  <si>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</si>
  <si>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</si>
  <si>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</si>
  <si>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</si>
  <si>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</si>
  <si>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</si>
  <si>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</si>
  <si>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</si>
  <si>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</si>
  <si>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</si>
  <si>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</si>
  <si>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</si>
  <si>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</si>
  <si>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</si>
  <si>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</si>
  <si>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</si>
  <si>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</si>
  <si>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</si>
  <si>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</si>
  <si>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</si>
  <si>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</si>
  <si>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</si>
  <si>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</si>
  <si>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</si>
  <si>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</si>
  <si>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</si>
  <si>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</si>
  <si>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</si>
  <si>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</si>
  <si>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</si>
  <si>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</si>
  <si>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</si>
  <si>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</si>
  <si>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</si>
  <si>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</si>
  <si>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</si>
  <si>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</si>
  <si>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</si>
  <si>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</si>
  <si>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</si>
  <si>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</si>
  <si>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</si>
  <si>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</si>
  <si>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</si>
  <si>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</si>
  <si>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</si>
  <si>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</si>
  <si>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</si>
  <si>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</si>
  <si>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</si>
  <si>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</si>
  <si>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</si>
  <si>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</si>
  <si>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</si>
  <si>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</si>
  <si>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</si>
  <si>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</si>
  <si>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</si>
  <si>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</si>
  <si>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</si>
  <si>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</si>
  <si>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</si>
  <si>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</si>
  <si>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</si>
  <si>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</si>
  <si>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</si>
  <si>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</si>
  <si>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</si>
  <si>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</si>
  <si>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</si>
  <si>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</si>
  <si>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</si>
  <si>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</si>
  <si>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</si>
  <si>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</si>
  <si>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</si>
  <si>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</si>
  <si>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</si>
  <si>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</si>
  <si>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</si>
  <si>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</si>
  <si>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</si>
  <si>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</si>
  <si>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</si>
  <si>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</si>
  <si>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</si>
  <si>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</si>
  <si>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</si>
  <si>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</si>
  <si>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</si>
  <si>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</si>
  <si>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</si>
  <si>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</si>
  <si>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</si>
  <si>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</si>
  <si>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</si>
  <si>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</si>
  <si>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</si>
  <si>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</si>
  <si>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</si>
  <si>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</si>
  <si>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</si>
  <si>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</si>
  <si>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</si>
  <si>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</si>
  <si>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</si>
  <si>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</si>
  <si>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</si>
  <si>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</si>
  <si>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</si>
  <si>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</si>
  <si>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</si>
  <si>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</si>
  <si>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</si>
  <si>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</si>
  <si>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</si>
  <si>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</si>
  <si>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</si>
  <si>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</si>
  <si>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</si>
  <si>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</si>
  <si>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</si>
  <si>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</si>
  <si>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</si>
  <si>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</si>
  <si>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</si>
  <si>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</si>
  <si>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</si>
  <si>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</si>
  <si>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</si>
  <si>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</si>
  <si>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</si>
  <si>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</si>
  <si>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</si>
  <si>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</si>
  <si>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</si>
  <si>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</si>
  <si>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</si>
  <si>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</si>
  <si>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</si>
  <si>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</si>
  <si>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</si>
  <si>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</si>
  <si>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</si>
  <si>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</si>
  <si>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</si>
  <si>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</si>
  <si>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</si>
  <si>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</si>
  <si>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</si>
  <si>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</si>
  <si>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</si>
  <si>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</si>
  <si>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</si>
  <si>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</si>
  <si>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</si>
  <si>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</si>
  <si>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</si>
  <si>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</si>
  <si>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</si>
  <si>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</si>
  <si>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</si>
  <si>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</si>
  <si>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</si>
  <si>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</si>
  <si>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</si>
  <si>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</si>
  <si>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</si>
  <si>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</si>
  <si>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</si>
  <si>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</si>
  <si>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</si>
  <si>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</si>
  <si>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</si>
  <si>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</si>
  <si>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</si>
  <si>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</si>
  <si>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</si>
  <si>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</si>
  <si>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</si>
  <si>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</si>
  <si>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</si>
  <si>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</si>
  <si>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</si>
  <si>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</si>
  <si>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</si>
  <si>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</si>
  <si>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</si>
  <si>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</si>
  <si>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</si>
  <si>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</si>
  <si>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</si>
  <si>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</si>
  <si>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</si>
  <si>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</si>
  <si>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</si>
  <si>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</si>
  <si>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</si>
  <si>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</si>
  <si>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</si>
  <si>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</si>
  <si>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</si>
  <si>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</si>
  <si>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</si>
  <si>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</si>
  <si>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</si>
  <si>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</si>
  <si>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</si>
  <si>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</si>
  <si>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</si>
  <si>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</si>
  <si>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</si>
  <si>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</si>
  <si>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</si>
  <si>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</si>
  <si>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</si>
  <si>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</si>
  <si>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</si>
  <si>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</si>
  <si>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</si>
  <si>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</si>
  <si>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</si>
  <si>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</si>
  <si>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</si>
  <si>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</si>
  <si>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</si>
  <si>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</si>
  <si>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</si>
  <si>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</si>
  <si>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</si>
  <si>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</si>
  <si>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</si>
  <si>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</si>
  <si>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</si>
  <si>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</si>
  <si>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</si>
  <si>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</si>
  <si>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</si>
  <si>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</si>
  <si>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</si>
  <si>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</si>
  <si>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</si>
  <si>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</si>
  <si>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</si>
  <si>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</si>
  <si>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</si>
  <si>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</si>
  <si>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</si>
  <si>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</si>
  <si>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</si>
  <si>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</si>
  <si>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</si>
  <si>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</si>
  <si>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</si>
  <si>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</si>
  <si>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</si>
  <si>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</si>
  <si>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</si>
  <si>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</si>
  <si>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</si>
  <si>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</si>
  <si>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</si>
  <si>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</si>
  <si>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</si>
  <si>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</si>
  <si>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</si>
  <si>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</si>
  <si>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</si>
  <si>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</si>
  <si>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</si>
  <si>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</si>
  <si>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</si>
  <si>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</si>
  <si>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</si>
  <si>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</si>
  <si>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</si>
  <si>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</si>
  <si>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</si>
  <si>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</si>
  <si>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</si>
  <si>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</si>
  <si>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</si>
  <si>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</si>
  <si>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</si>
  <si>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</si>
  <si>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</si>
  <si>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</si>
  <si>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</si>
  <si>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</si>
  <si>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</si>
  <si>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</si>
  <si>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</si>
  <si>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</si>
  <si>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</si>
  <si>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</si>
  <si>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</si>
  <si>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</si>
  <si>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</si>
  <si>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</si>
  <si>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</si>
  <si>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</si>
  <si>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</si>
  <si>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</si>
  <si>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</si>
  <si>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</si>
  <si>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</si>
  <si>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</si>
  <si>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</si>
  <si>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</si>
  <si>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</si>
  <si>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</si>
  <si>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</si>
  <si>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</si>
  <si>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</si>
  <si>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</si>
  <si>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</si>
  <si>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</si>
  <si>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</si>
  <si>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</si>
  <si>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</si>
  <si>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</si>
  <si>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</si>
  <si>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</si>
  <si>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</si>
  <si>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</si>
  <si>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</si>
  <si>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</si>
  <si>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</si>
  <si>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</si>
  <si>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</si>
  <si>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</si>
  <si>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</si>
  <si>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</si>
  <si>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</si>
  <si>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</si>
  <si>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</si>
  <si>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</si>
  <si>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</si>
  <si>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</si>
  <si>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</si>
  <si>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</si>
  <si>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</si>
  <si>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</si>
  <si>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</si>
  <si>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</si>
  <si>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</si>
  <si>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</si>
  <si>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</si>
  <si>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</si>
  <si>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</si>
  <si>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</si>
  <si>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</si>
  <si>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</si>
  <si>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</si>
  <si>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</si>
  <si>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</si>
  <si>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</si>
  <si>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</si>
  <si>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</si>
  <si>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</si>
  <si>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</si>
  <si>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</si>
  <si>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</si>
  <si>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</si>
  <si>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</si>
  <si>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</si>
  <si>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</si>
  <si>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</si>
  <si>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</si>
  <si>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</si>
  <si>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</si>
  <si>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</si>
  <si>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</si>
  <si>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</si>
  <si>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</si>
  <si>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</si>
  <si>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</si>
  <si>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</si>
  <si>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</si>
  <si>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</si>
  <si>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</si>
  <si>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</si>
  <si>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</si>
  <si>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</si>
  <si>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</si>
  <si>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</si>
  <si>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</si>
  <si>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</si>
  <si>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</si>
  <si>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</si>
  <si>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</si>
  <si>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</si>
  <si>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</si>
  <si>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</si>
  <si>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</si>
  <si>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</si>
  <si>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</si>
  <si>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</si>
  <si>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</si>
  <si>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</si>
  <si>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</si>
  <si>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</si>
  <si>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</si>
  <si>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</si>
  <si>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</si>
  <si>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</si>
  <si>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</si>
  <si>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</si>
  <si>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</si>
  <si>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</si>
  <si>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</si>
  <si>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</si>
  <si>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</si>
  <si>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</si>
  <si>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</si>
  <si>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</si>
  <si>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</si>
  <si>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</si>
  <si>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</si>
  <si>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</si>
  <si>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</si>
  <si>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</si>
  <si>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</si>
  <si>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</si>
  <si>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</si>
  <si>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</si>
  <si>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</si>
  <si>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</si>
  <si>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</si>
  <si>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</si>
  <si>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</si>
  <si>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</si>
  <si>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</si>
  <si>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</si>
  <si>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</si>
  <si>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</si>
  <si>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</si>
  <si>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</si>
  <si>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</si>
  <si>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</si>
  <si>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</si>
  <si>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</si>
  <si>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</si>
  <si>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</si>
  <si>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</si>
  <si>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</si>
  <si>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</si>
  <si>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</si>
  <si>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</si>
  <si>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</si>
  <si>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</si>
  <si>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</si>
  <si>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</si>
  <si>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</si>
  <si>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</si>
  <si>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</si>
  <si>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</si>
  <si>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</si>
  <si>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</si>
  <si>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</si>
  <si>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</si>
  <si>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</si>
  <si>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</si>
  <si>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</si>
  <si>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</si>
  <si>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</si>
  <si>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</si>
  <si>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</si>
  <si>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</si>
  <si>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</si>
  <si>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</si>
  <si>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</si>
  <si>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</si>
  <si>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</si>
  <si>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</si>
  <si>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</si>
  <si>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</si>
  <si>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</si>
  <si>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</si>
  <si>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</si>
  <si>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</si>
  <si>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</si>
  <si>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</si>
  <si>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</si>
  <si>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</si>
  <si>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</si>
  <si>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</si>
  <si>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</si>
  <si>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</si>
  <si>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</si>
  <si>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</si>
  <si>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</si>
  <si>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</si>
  <si>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</si>
  <si>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</si>
  <si>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</si>
  <si>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</si>
  <si>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</si>
  <si>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</si>
  <si>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</si>
  <si>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</si>
  <si>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</si>
  <si>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</si>
  <si>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</si>
  <si>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</si>
  <si>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</si>
  <si>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</si>
  <si>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</si>
  <si>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</si>
  <si>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</si>
  <si>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</si>
  <si>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</si>
  <si>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</si>
  <si>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</si>
  <si>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</si>
  <si>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</si>
  <si>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</si>
  <si>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</si>
  <si>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</si>
  <si>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</si>
  <si>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</si>
  <si>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</si>
  <si>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</si>
  <si>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</si>
  <si>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</si>
  <si>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</si>
  <si>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</si>
  <si>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</si>
  <si>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</si>
  <si>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</si>
  <si>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</si>
  <si>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</si>
  <si>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</si>
  <si>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</si>
  <si>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</si>
  <si>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</si>
  <si>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</si>
  <si>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</si>
  <si>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</si>
  <si>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</si>
  <si>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</si>
  <si>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</si>
  <si>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</si>
  <si>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</si>
  <si>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</si>
  <si>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</si>
  <si>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</si>
  <si>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</si>
  <si>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</si>
  <si>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</si>
  <si>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</si>
  <si>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</si>
  <si>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</si>
  <si>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</si>
  <si>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</si>
  <si>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</si>
  <si>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</si>
  <si>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</si>
  <si>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</si>
  <si>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</si>
  <si>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</si>
  <si>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</si>
  <si>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</si>
  <si>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</si>
  <si>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</si>
  <si>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</si>
  <si>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</si>
  <si>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</si>
  <si>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</si>
  <si>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</si>
  <si>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</si>
  <si>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</si>
  <si>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</si>
  <si>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</si>
  <si>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</si>
  <si>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</si>
  <si>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</si>
  <si>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</si>
  <si>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</si>
  <si>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</si>
  <si>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</si>
  <si>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</si>
  <si>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</si>
  <si>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</si>
  <si>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</si>
  <si>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</si>
  <si>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</si>
  <si>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</si>
  <si>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</si>
  <si>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</si>
  <si>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</si>
  <si>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</si>
  <si>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</si>
  <si>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</si>
  <si>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</si>
  <si>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</si>
  <si>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</si>
  <si>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</si>
  <si>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</si>
  <si>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</si>
  <si>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</si>
  <si>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</si>
  <si>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</si>
  <si>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</si>
  <si>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</si>
  <si>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</si>
  <si>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</si>
  <si>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</si>
  <si>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</si>
  <si>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</si>
  <si>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</si>
  <si>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</si>
  <si>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</si>
  <si>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</si>
  <si>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</si>
  <si>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</si>
  <si>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</si>
  <si>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</si>
  <si>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</si>
  <si>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</si>
  <si>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</si>
  <si>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</si>
  <si>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</si>
  <si>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</si>
  <si>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</si>
  <si>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</si>
  <si>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</si>
  <si>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</si>
  <si>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</si>
  <si>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</si>
  <si>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</si>
  <si>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</si>
  <si>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</si>
  <si>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</si>
  <si>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</si>
  <si>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</si>
  <si>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</si>
  <si>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</si>
  <si>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</si>
  <si>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</si>
  <si>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</si>
  <si>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</si>
  <si>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</si>
  <si>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</si>
  <si>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</si>
  <si>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</si>
  <si>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</si>
  <si>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</si>
  <si>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</si>
  <si>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</si>
  <si>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</si>
  <si>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</si>
  <si>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</si>
  <si>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</si>
  <si>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</si>
  <si>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</si>
  <si>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</si>
  <si>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</si>
  <si>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</si>
  <si>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</si>
  <si>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</si>
  <si>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</si>
  <si>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</si>
  <si>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</si>
  <si>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</si>
  <si>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</si>
  <si>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</si>
  <si>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</si>
  <si>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</si>
  <si>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</si>
  <si>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</si>
  <si>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</si>
  <si>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</si>
  <si>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</si>
  <si>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</si>
  <si>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</si>
  <si>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</si>
  <si>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</si>
  <si>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</si>
  <si>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</si>
  <si>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</si>
  <si>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</si>
  <si>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</si>
  <si>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</si>
  <si>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</si>
  <si>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</si>
  <si>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</si>
  <si>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</si>
  <si>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</si>
  <si>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</si>
  <si>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</si>
  <si>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</si>
  <si>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</si>
  <si>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</si>
  <si>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</si>
  <si>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</si>
  <si>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</si>
  <si>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</si>
  <si>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</si>
  <si>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</si>
  <si>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</si>
  <si>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</si>
  <si>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</si>
  <si>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</si>
  <si>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</si>
  <si>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</si>
  <si>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</si>
  <si>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</si>
  <si>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</si>
  <si>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</si>
  <si>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</si>
  <si>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</si>
  <si>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</si>
  <si>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</si>
  <si>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</si>
  <si>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</si>
  <si>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</si>
  <si>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</si>
  <si>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</si>
  <si>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</si>
  <si>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</si>
  <si>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</si>
  <si>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</si>
  <si>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</si>
  <si>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</si>
  <si>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</si>
  <si>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</si>
  <si>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</si>
  <si>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</si>
  <si>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</si>
  <si>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</si>
  <si>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</si>
  <si>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</si>
  <si>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</si>
  <si>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</si>
  <si>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</si>
  <si>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</si>
  <si>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</si>
  <si>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</si>
  <si>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</si>
  <si>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</si>
  <si>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</si>
  <si>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</si>
  <si>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</si>
  <si>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</si>
  <si>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</si>
  <si>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</si>
  <si>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</si>
  <si>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</si>
  <si>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</si>
  <si>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</si>
  <si>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</si>
  <si>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</si>
  <si>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</si>
  <si>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</si>
  <si>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</si>
  <si>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</si>
  <si>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</si>
  <si>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</si>
  <si>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</si>
  <si>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</si>
  <si>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</si>
  <si>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</si>
  <si>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</si>
  <si>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</si>
  <si>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</si>
  <si>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</si>
  <si>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</si>
  <si>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</si>
  <si>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</si>
  <si>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</si>
  <si>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</si>
  <si>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</si>
  <si>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</si>
  <si>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</si>
  <si>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</si>
  <si>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</si>
  <si>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</si>
  <si>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</si>
  <si>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</si>
  <si>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</si>
  <si>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</si>
  <si>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</si>
  <si>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</si>
  <si>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</si>
  <si>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</si>
  <si>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</si>
  <si>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</si>
  <si>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</si>
  <si>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</si>
  <si>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</si>
  <si>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</si>
  <si>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</si>
  <si>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</si>
  <si>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</si>
  <si>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</si>
  <si>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</si>
  <si>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</si>
  <si>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</si>
  <si>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</si>
  <si>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</si>
  <si>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</si>
  <si>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</si>
  <si>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</si>
  <si>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</si>
  <si>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</si>
  <si>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</si>
  <si>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</si>
  <si>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</si>
  <si>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</si>
  <si>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</si>
  <si>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</si>
  <si>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</si>
  <si>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</si>
  <si>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</si>
  <si>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</si>
  <si>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</si>
  <si>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</si>
  <si>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</si>
  <si>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</si>
  <si>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</si>
  <si>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</si>
  <si>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</si>
  <si>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</si>
  <si>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</si>
  <si>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</si>
  <si>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</si>
  <si>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</si>
  <si>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</si>
  <si>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</si>
  <si>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</si>
  <si>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</si>
  <si>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</si>
  <si>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</si>
  <si>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</si>
  <si>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</si>
  <si>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</si>
  <si>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</si>
  <si>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</si>
  <si>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</si>
  <si>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</si>
  <si>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</si>
  <si>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</si>
  <si>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</si>
  <si>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</si>
  <si>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</si>
  <si>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</si>
  <si>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</si>
  <si>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</si>
  <si>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</si>
  <si>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</si>
  <si>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</si>
  <si>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</si>
  <si>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</si>
  <si>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</si>
  <si>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</si>
  <si>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</si>
  <si>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</si>
  <si>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</si>
  <si>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</si>
  <si>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</si>
  <si>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</si>
  <si>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</si>
  <si>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</si>
  <si>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</si>
  <si>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</si>
  <si>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</si>
  <si>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</si>
  <si>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</si>
  <si>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</si>
  <si>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</si>
  <si>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</si>
  <si>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</si>
  <si>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</si>
  <si>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</si>
  <si>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</si>
  <si>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</si>
  <si>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</si>
  <si>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</si>
  <si>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</si>
  <si>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</si>
  <si>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</si>
  <si>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</si>
  <si>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</si>
  <si>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</si>
  <si>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</si>
  <si>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</si>
  <si>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</si>
  <si>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</si>
  <si>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</si>
  <si>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</si>
  <si>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</si>
  <si>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</si>
  <si>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</si>
  <si>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</si>
  <si>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</si>
  <si>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</si>
  <si>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</si>
  <si>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</si>
  <si>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</si>
  <si>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</si>
  <si>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</si>
  <si>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</si>
  <si>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</si>
  <si>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</si>
  <si>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</si>
  <si>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</si>
  <si>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</si>
  <si>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</si>
  <si>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</si>
  <si>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</si>
  <si>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</si>
  <si>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</si>
  <si>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</si>
  <si>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</si>
  <si>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</si>
  <si>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</si>
  <si>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</si>
  <si>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</si>
  <si>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</si>
  <si>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</si>
  <si>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</si>
  <si>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</si>
  <si>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</si>
  <si>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</si>
  <si>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</si>
  <si>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</si>
  <si>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</si>
  <si>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</si>
  <si>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</si>
  <si>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</si>
  <si>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</si>
  <si>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</si>
  <si>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</si>
  <si>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</si>
  <si>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</si>
  <si>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</si>
  <si>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</si>
  <si>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</si>
  <si>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</si>
  <si>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</si>
  <si>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</si>
  <si>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</si>
  <si>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</si>
  <si>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</si>
  <si>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</si>
  <si>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</si>
  <si>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</si>
  <si>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</si>
  <si>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</si>
  <si>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</si>
  <si>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</si>
  <si>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</si>
  <si>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</si>
  <si>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</si>
  <si>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</si>
  <si>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</si>
  <si>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</si>
  <si>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</si>
  <si>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</si>
  <si>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</si>
  <si>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</si>
  <si>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</si>
  <si>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</si>
  <si>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</si>
  <si>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</si>
  <si>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</si>
  <si>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</si>
  <si>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</si>
  <si>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</si>
  <si>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</si>
  <si>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</si>
  <si>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</si>
  <si>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</si>
  <si>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</si>
  <si>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</si>
  <si>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</si>
  <si>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</si>
  <si>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</si>
  <si>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</si>
  <si>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</si>
  <si>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</si>
  <si>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</si>
  <si>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</si>
  <si>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</si>
  <si>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</si>
  <si>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</si>
  <si>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</si>
  <si>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</si>
  <si>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</si>
  <si>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</si>
  <si>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</si>
  <si>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</si>
  <si>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</si>
  <si>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</si>
  <si>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</si>
  <si>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</si>
  <si>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</si>
  <si>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</si>
  <si>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</si>
  <si>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</si>
  <si>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</si>
  <si>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</si>
  <si>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</si>
  <si>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</si>
  <si>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</si>
  <si>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</si>
  <si>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</si>
  <si>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</si>
  <si>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</si>
  <si>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</si>
  <si>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</si>
  <si>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</si>
  <si>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</si>
  <si>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</si>
  <si>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</si>
  <si>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</si>
  <si>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</si>
  <si>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</si>
  <si>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</si>
  <si>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</si>
  <si>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</si>
  <si>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</si>
  <si>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</si>
  <si>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</si>
  <si>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</si>
  <si>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</si>
  <si>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</si>
  <si>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</si>
  <si>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</si>
  <si>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</si>
  <si>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</si>
  <si>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</si>
  <si>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</si>
  <si>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</si>
  <si>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</si>
  <si>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</si>
  <si>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</si>
  <si>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</si>
  <si>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</si>
  <si>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</si>
  <si>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</si>
  <si>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</si>
  <si>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</si>
  <si>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</si>
  <si>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</si>
  <si>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</si>
  <si>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</si>
  <si>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</si>
  <si>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</si>
  <si>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</si>
  <si>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</si>
  <si>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</si>
  <si>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</si>
  <si>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</si>
  <si>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</si>
  <si>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</si>
  <si>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</si>
  <si>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</si>
  <si>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</si>
  <si>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</si>
  <si>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</si>
  <si>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</si>
  <si>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</si>
  <si>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</si>
  <si>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</si>
  <si>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</si>
  <si>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</si>
  <si>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</si>
  <si>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</si>
  <si>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</si>
  <si>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</si>
  <si>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</si>
  <si>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</si>
  <si>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</si>
  <si>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</si>
  <si>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</si>
  <si>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</si>
  <si>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</si>
  <si>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</si>
  <si>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</si>
  <si>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</si>
  <si>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</si>
  <si>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</si>
  <si>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</si>
  <si>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</si>
  <si>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</si>
  <si>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</si>
  <si>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</si>
  <si>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</si>
  <si>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</si>
  <si>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</si>
  <si>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</si>
  <si>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</si>
  <si>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</si>
  <si>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</si>
  <si>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</si>
  <si>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</si>
  <si>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</si>
  <si>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</si>
  <si>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</si>
  <si>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</si>
  <si>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</si>
  <si>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</si>
  <si>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</si>
  <si>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</si>
  <si>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</si>
  <si>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</si>
  <si>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</si>
  <si>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</si>
  <si>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</si>
  <si>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</si>
  <si>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</si>
  <si>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</si>
  <si>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</si>
  <si>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</si>
  <si>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</si>
  <si>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</si>
  <si>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</si>
  <si>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</si>
  <si>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</si>
  <si>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</si>
  <si>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</si>
  <si>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</si>
  <si>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</si>
  <si>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</si>
  <si>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</si>
  <si>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</si>
  <si>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</si>
  <si>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</si>
  <si>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</si>
  <si>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</si>
  <si>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</si>
  <si>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</si>
  <si>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</si>
  <si>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</si>
  <si>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</si>
  <si>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</si>
  <si>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</si>
  <si>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</si>
  <si>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</si>
  <si>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</si>
  <si>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</si>
  <si>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</si>
  <si>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</si>
  <si>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</si>
  <si>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</si>
  <si>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</si>
  <si>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</si>
  <si>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</si>
  <si>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</si>
  <si>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</si>
  <si>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</si>
  <si>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</si>
  <si>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</si>
  <si>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</si>
  <si>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</si>
  <si>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</si>
  <si>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</si>
  <si>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</si>
  <si>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</si>
  <si>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</si>
  <si>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</si>
  <si>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</si>
  <si>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</si>
  <si>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</si>
  <si>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</si>
  <si>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</si>
  <si>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</si>
  <si>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</si>
  <si>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</si>
  <si>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</si>
  <si>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</si>
  <si>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</si>
  <si>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</si>
  <si>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</si>
  <si>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</si>
  <si>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</si>
  <si>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</si>
  <si>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</si>
  <si>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</si>
  <si>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</si>
  <si>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</si>
  <si>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</si>
  <si>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</si>
  <si>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</si>
  <si>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</si>
  <si>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</si>
  <si>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</si>
  <si>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</si>
  <si>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</si>
  <si>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</si>
  <si>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</si>
  <si>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</si>
  <si>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</si>
  <si>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</si>
  <si>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</si>
  <si>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</si>
  <si>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</si>
  <si>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</si>
  <si>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</si>
  <si>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</si>
  <si>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</si>
  <si>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</si>
  <si>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</si>
  <si>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</si>
  <si>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</si>
  <si>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</si>
  <si>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</si>
  <si>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</si>
  <si>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</si>
  <si>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</si>
  <si>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</si>
  <si>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</si>
  <si>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</si>
  <si>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</si>
  <si>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</si>
  <si>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</si>
  <si>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</si>
  <si>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</si>
  <si>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</si>
  <si>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</si>
  <si>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</si>
  <si>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</si>
  <si>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</si>
  <si>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</si>
  <si>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</si>
  <si>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</si>
  <si>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</si>
  <si>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</si>
  <si>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</si>
  <si>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</si>
  <si>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</si>
  <si>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</si>
  <si>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</si>
  <si>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</si>
  <si>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</si>
  <si>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</si>
  <si>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</si>
  <si>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</si>
  <si>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</si>
  <si>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</si>
  <si>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</si>
  <si>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</si>
  <si>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</si>
  <si>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</si>
  <si>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</si>
  <si>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</si>
  <si>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</si>
  <si>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</si>
  <si>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</si>
  <si>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</si>
  <si>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</si>
  <si>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</si>
  <si>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</si>
  <si>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</si>
  <si>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</si>
  <si>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</si>
  <si>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</si>
  <si>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</si>
  <si>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</si>
  <si>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</si>
  <si>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</si>
  <si>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</si>
  <si>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</si>
  <si>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</si>
  <si>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</si>
  <si>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</si>
  <si>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</si>
  <si>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</si>
  <si>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</si>
  <si>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</si>
  <si>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</si>
  <si>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</si>
  <si>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</si>
  <si>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</si>
  <si>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</si>
  <si>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</si>
  <si>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</si>
  <si>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</si>
  <si>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</si>
  <si>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</si>
  <si>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</si>
  <si>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</si>
  <si>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</si>
  <si>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</si>
  <si>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</si>
  <si>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</si>
  <si>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</si>
  <si>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</si>
  <si>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</si>
  <si>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</si>
  <si>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</si>
  <si>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</si>
  <si>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</si>
  <si>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</si>
  <si>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</si>
  <si>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</si>
  <si>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</si>
  <si>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</si>
  <si>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</si>
  <si>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</si>
  <si>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</si>
  <si>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</si>
  <si>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</si>
  <si>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</si>
  <si>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</si>
  <si>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</si>
  <si>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</si>
  <si>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</si>
  <si>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</si>
  <si>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</si>
  <si>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</si>
  <si>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</si>
  <si>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</si>
  <si>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</si>
  <si>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</si>
  <si>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</si>
  <si>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</si>
  <si>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</si>
  <si>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</si>
  <si>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</si>
  <si>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</si>
  <si>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</si>
  <si>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</si>
  <si>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</si>
  <si>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</si>
  <si>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</si>
  <si>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</si>
  <si>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</si>
  <si>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</si>
  <si>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</si>
  <si>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</si>
  <si>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</si>
  <si>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</si>
  <si>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</si>
  <si>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</si>
  <si>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</si>
  <si>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</si>
  <si>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</si>
  <si>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</si>
  <si>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</si>
  <si>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</si>
  <si>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</si>
  <si>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</si>
  <si>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</si>
  <si>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</si>
  <si>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</si>
  <si>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</si>
  <si>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</si>
  <si>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</si>
  <si>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</si>
  <si>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</si>
  <si>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</si>
  <si>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</si>
  <si>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</si>
  <si>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</si>
  <si>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</si>
  <si>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</si>
  <si>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</si>
  <si>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</si>
  <si>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</si>
  <si>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</si>
  <si>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</si>
  <si>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</si>
  <si>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</si>
  <si>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</si>
  <si>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</si>
  <si>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</si>
  <si>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</si>
  <si>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</si>
  <si>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</si>
  <si>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</si>
  <si>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</si>
  <si>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</si>
  <si>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</si>
  <si>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</si>
  <si>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</si>
  <si>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</si>
  <si>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</si>
  <si>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</si>
  <si>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</si>
  <si>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</si>
  <si>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</si>
  <si>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</si>
  <si>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</si>
  <si>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</si>
  <si>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</si>
  <si>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</si>
  <si>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</si>
  <si>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</si>
  <si>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</si>
  <si>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</si>
  <si>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</si>
  <si>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</si>
  <si>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</si>
  <si>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</si>
  <si>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</si>
  <si>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</si>
  <si>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</si>
  <si>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</si>
  <si>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</si>
  <si>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</si>
  <si>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</si>
  <si>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</si>
  <si>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</si>
  <si>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</si>
  <si>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</si>
  <si>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</si>
  <si>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</si>
  <si>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</si>
  <si>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</si>
  <si>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</si>
  <si>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</si>
  <si>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</si>
  <si>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</si>
  <si>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</si>
  <si>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</si>
  <si>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</si>
  <si>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</si>
  <si>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</si>
  <si>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</si>
  <si>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</si>
  <si>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</si>
  <si>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</si>
  <si>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</si>
  <si>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</si>
  <si>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</si>
  <si>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</si>
  <si>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</si>
  <si>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</si>
  <si>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</si>
  <si>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</si>
  <si>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</si>
  <si>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</si>
  <si>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</si>
  <si>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</si>
  <si>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</si>
  <si>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</si>
  <si>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</si>
  <si>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</si>
  <si>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</si>
  <si>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</si>
  <si>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</si>
  <si>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</si>
  <si>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</si>
  <si>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</si>
  <si>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</si>
  <si>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</si>
  <si>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</si>
  <si>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</si>
  <si>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</si>
  <si>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</si>
  <si>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</si>
  <si>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</si>
  <si>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</si>
  <si>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</si>
  <si>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</si>
  <si>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</si>
  <si>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</si>
  <si>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</si>
  <si>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</si>
  <si>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</si>
  <si>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</si>
  <si>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</si>
  <si>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</si>
  <si>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</si>
  <si>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</si>
  <si>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</si>
  <si>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</si>
  <si>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</si>
  <si>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</si>
  <si>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</si>
  <si>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</si>
  <si>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</si>
  <si>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</si>
  <si>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</si>
  <si>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</si>
  <si>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</si>
  <si>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</si>
  <si>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</si>
  <si>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</si>
  <si>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</si>
  <si>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</si>
  <si>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</si>
  <si>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</si>
  <si>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</si>
  <si>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</si>
  <si>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</si>
  <si>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</si>
  <si>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</si>
  <si>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</si>
  <si>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</si>
  <si>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</si>
  <si>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</si>
  <si>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</si>
  <si>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</si>
  <si>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</si>
  <si>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</si>
  <si>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</si>
  <si>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</si>
  <si>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</si>
  <si>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</si>
  <si>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</si>
  <si>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</si>
  <si>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</si>
  <si>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</si>
  <si>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</si>
  <si>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</si>
  <si>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</si>
  <si>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</si>
  <si>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</si>
  <si>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</si>
  <si>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</si>
  <si>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</si>
  <si>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</si>
  <si>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</si>
  <si>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</si>
  <si>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</si>
  <si>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</si>
  <si>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</si>
  <si>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</si>
  <si>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</si>
  <si>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</si>
  <si>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</si>
  <si>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</si>
  <si>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</si>
  <si>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</si>
  <si>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</si>
  <si>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</si>
  <si>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</si>
  <si>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</si>
  <si>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</si>
  <si>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</si>
  <si>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</si>
  <si>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</si>
  <si>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</si>
  <si>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</si>
  <si>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</si>
  <si>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</si>
  <si>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</si>
  <si>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</si>
  <si>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</si>
  <si>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</si>
  <si>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</si>
  <si>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</si>
  <si>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</si>
  <si>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</si>
  <si>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</si>
  <si>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</si>
  <si>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</si>
  <si>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</si>
  <si>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</si>
  <si>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</si>
  <si>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</si>
  <si>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</si>
  <si>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</si>
  <si>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</si>
  <si>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</si>
  <si>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</si>
  <si>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</si>
  <si>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</si>
  <si>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</si>
  <si>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</si>
  <si>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</si>
  <si>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</si>
  <si>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</si>
  <si>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</si>
  <si>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</si>
  <si>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</si>
  <si>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</si>
  <si>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</si>
  <si>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</si>
  <si>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</si>
  <si>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</si>
  <si>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</si>
  <si>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</si>
  <si>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</si>
  <si>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</si>
  <si>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</si>
  <si>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</si>
  <si>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</si>
  <si>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</si>
  <si>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</si>
  <si>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</si>
  <si>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</si>
  <si>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</si>
  <si>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</si>
  <si>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</si>
  <si>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</si>
  <si>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</si>
  <si>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</si>
  <si>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</si>
  <si>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</si>
  <si>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</si>
  <si>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</si>
  <si>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</si>
  <si>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</si>
  <si>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</si>
  <si>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</si>
  <si>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</si>
  <si>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</si>
  <si>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</si>
  <si>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</si>
  <si>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</si>
  <si>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</si>
  <si>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</si>
  <si>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</si>
  <si>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</si>
  <si>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</si>
  <si>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</si>
  <si>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</si>
  <si>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</si>
  <si>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</si>
  <si>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</si>
  <si>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</si>
  <si>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</si>
  <si>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</si>
  <si>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</si>
  <si>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</si>
  <si>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</si>
  <si>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</si>
  <si>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</si>
  <si>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</si>
  <si>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</si>
  <si>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</si>
  <si>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</si>
  <si>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</si>
  <si>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</si>
  <si>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</si>
  <si>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</si>
  <si>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</si>
  <si>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</si>
  <si>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</si>
  <si>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</si>
  <si>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</si>
  <si>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</si>
  <si>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</si>
  <si>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</si>
  <si>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</si>
  <si>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</si>
  <si>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</si>
  <si>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</si>
  <si>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</si>
  <si>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</si>
  <si>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</si>
  <si>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</si>
  <si>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</si>
  <si>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</si>
  <si>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</si>
  <si>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</si>
  <si>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</si>
  <si>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</si>
  <si>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</si>
  <si>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</si>
  <si>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</si>
  <si>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</si>
  <si>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</si>
  <si>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</si>
  <si>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</si>
  <si>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</si>
  <si>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</si>
  <si>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</si>
  <si>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</si>
  <si>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</si>
  <si>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</si>
  <si>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</si>
  <si>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</si>
  <si>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</si>
  <si>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</si>
  <si>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</si>
  <si>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</si>
  <si>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</si>
  <si>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</si>
  <si>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</si>
  <si>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</si>
  <si>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</si>
  <si>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</si>
  <si>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</si>
  <si>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</si>
  <si>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</si>
  <si>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</si>
  <si>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</si>
  <si>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</si>
  <si>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</si>
  <si>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</si>
  <si>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</si>
  <si>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</si>
  <si>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</si>
  <si>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</si>
  <si>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</si>
  <si>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</si>
  <si>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</si>
  <si>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</si>
  <si>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</si>
  <si>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</si>
  <si>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</si>
  <si>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</si>
  <si>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</si>
  <si>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</si>
  <si>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</si>
  <si>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</si>
  <si>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</si>
  <si>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</si>
  <si>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</si>
  <si>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</si>
  <si>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</si>
  <si>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</si>
  <si>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</si>
  <si>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</si>
  <si>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</si>
  <si>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</si>
  <si>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</si>
  <si>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</si>
  <si>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</si>
  <si>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</si>
  <si>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</si>
  <si>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</si>
  <si>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</si>
  <si>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</si>
  <si>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</si>
  <si>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</si>
  <si>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</si>
  <si>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</si>
  <si>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</si>
  <si>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</si>
  <si>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</si>
  <si>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</si>
  <si>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</si>
  <si>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</si>
  <si>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</si>
  <si>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</si>
  <si>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</si>
  <si>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</si>
  <si>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</si>
  <si>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</si>
  <si>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</si>
  <si>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</si>
  <si>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</si>
  <si>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</si>
  <si>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</si>
  <si>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</si>
  <si>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</si>
  <si>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</si>
  <si>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</si>
  <si>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</si>
  <si>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</si>
  <si>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</si>
  <si>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</si>
  <si>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</si>
  <si>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</si>
  <si>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</si>
  <si>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</si>
  <si>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</si>
  <si>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</si>
  <si>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</si>
  <si>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</si>
  <si>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</si>
  <si>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</si>
  <si>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</si>
  <si>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</si>
  <si>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</si>
  <si>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</si>
  <si>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</si>
  <si>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</si>
  <si>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</si>
  <si>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</si>
  <si>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</si>
  <si>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</si>
  <si>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</si>
  <si>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</si>
  <si>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</si>
  <si>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</si>
  <si>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</si>
  <si>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</si>
  <si>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</si>
  <si>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</si>
  <si>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</si>
  <si>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</si>
  <si>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</si>
  <si>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</si>
  <si>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</si>
  <si>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</si>
  <si>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</si>
  <si>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</si>
  <si>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</si>
  <si>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</si>
  <si>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</si>
  <si>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</si>
  <si>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</si>
  <si>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</si>
  <si>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</si>
  <si>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</si>
  <si>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</si>
  <si>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</si>
  <si>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</si>
  <si>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</si>
  <si>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</si>
  <si>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</si>
  <si>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</si>
  <si>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</si>
  <si>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</si>
  <si>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</si>
  <si>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</si>
  <si>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</si>
  <si>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</si>
  <si>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</si>
  <si>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</si>
  <si>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</si>
  <si>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</si>
  <si>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</si>
  <si>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</si>
  <si>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</si>
  <si>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</si>
  <si>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</si>
  <si>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</si>
  <si>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</si>
  <si>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</si>
  <si>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</si>
  <si>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</si>
  <si>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</si>
  <si>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</si>
  <si>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</si>
  <si>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</si>
  <si>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</si>
  <si>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</si>
  <si>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</si>
  <si>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</si>
  <si>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</si>
  <si>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</si>
  <si>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</si>
  <si>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</si>
  <si>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</si>
  <si>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</si>
  <si>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</si>
  <si>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</si>
  <si>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</si>
  <si>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</si>
  <si>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</si>
  <si>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</si>
  <si>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</si>
  <si>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</si>
  <si>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</si>
  <si>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</si>
  <si>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</si>
  <si>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</si>
  <si>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</si>
  <si>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</si>
  <si>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</si>
  <si>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</si>
  <si>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</si>
  <si>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</si>
  <si>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</si>
  <si>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</si>
  <si>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</si>
  <si>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</si>
  <si>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</si>
  <si>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</si>
  <si>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</si>
  <si>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</si>
  <si>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</si>
  <si>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</si>
  <si>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</si>
  <si>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</si>
  <si>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</si>
  <si>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</si>
  <si>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</si>
  <si>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</si>
  <si>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</si>
  <si>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</si>
  <si>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</si>
  <si>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</si>
  <si>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</si>
  <si>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</si>
  <si>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</si>
  <si>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</si>
  <si>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</si>
  <si>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</si>
  <si>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</si>
  <si>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</si>
  <si>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</si>
  <si>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</si>
  <si>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</si>
  <si>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</si>
  <si>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</si>
  <si>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</si>
  <si>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</si>
  <si>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</si>
  <si>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</si>
  <si>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</si>
  <si>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</si>
  <si>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</si>
  <si>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</si>
  <si>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</si>
  <si>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</si>
  <si>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</si>
  <si>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</si>
  <si>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</si>
  <si>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</si>
  <si>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</si>
  <si>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</si>
  <si>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</si>
  <si>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</si>
  <si>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</si>
  <si>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</si>
  <si>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</si>
  <si>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</si>
  <si>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</si>
  <si>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</si>
  <si>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</si>
  <si>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</si>
  <si>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</si>
  <si>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</si>
  <si>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</si>
  <si>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</si>
  <si>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</si>
  <si>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</si>
  <si>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</si>
  <si>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</si>
  <si>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</si>
  <si>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</si>
  <si>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</si>
  <si>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</si>
  <si>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</si>
  <si>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</si>
  <si>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</si>
  <si>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</si>
  <si>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</si>
  <si>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</si>
  <si>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</si>
  <si>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</si>
  <si>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</si>
  <si>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</si>
  <si>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</si>
  <si>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</si>
  <si>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</si>
  <si>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</si>
  <si>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</si>
  <si>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</si>
  <si>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</si>
  <si>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</si>
  <si>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</si>
  <si>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</si>
  <si>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</si>
  <si>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</si>
  <si>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</si>
  <si>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</si>
  <si>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</si>
  <si>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</si>
  <si>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</si>
  <si>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</si>
  <si>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</si>
  <si>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</si>
  <si>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</si>
  <si>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</si>
  <si>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</si>
  <si>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</si>
  <si>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</si>
  <si>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</si>
  <si>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</si>
  <si>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</si>
  <si>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</si>
  <si>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</si>
  <si>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</si>
  <si>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</si>
  <si>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</si>
  <si>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</si>
  <si>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</si>
  <si>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</si>
  <si>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</si>
  <si>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</si>
  <si>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</si>
  <si>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</si>
  <si>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</si>
  <si>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</si>
  <si>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</si>
  <si>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</si>
  <si>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</si>
  <si>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</si>
  <si>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</si>
  <si>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</si>
  <si>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</si>
  <si>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</si>
  <si>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</si>
  <si>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</si>
  <si>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</si>
  <si>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</si>
  <si>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</si>
  <si>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</si>
  <si>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</si>
  <si>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</si>
  <si>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</si>
  <si>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</si>
  <si>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</si>
  <si>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</si>
  <si>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</si>
  <si>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</si>
  <si>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</si>
  <si>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</si>
  <si>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</si>
  <si>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</si>
  <si>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</si>
  <si>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</si>
  <si>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</si>
  <si>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</si>
  <si>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</si>
  <si>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</si>
  <si>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</si>
  <si>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</si>
  <si>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</si>
  <si>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</si>
  <si>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</si>
  <si>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</si>
  <si>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</si>
  <si>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</si>
  <si>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</si>
  <si>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</si>
  <si>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</si>
  <si>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</si>
  <si>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</si>
  <si>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</si>
  <si>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</si>
  <si>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</si>
  <si>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</si>
  <si>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</si>
  <si>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</si>
  <si>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</si>
  <si>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</si>
  <si>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</si>
  <si>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</si>
  <si>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</si>
  <si>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</si>
  <si>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</si>
  <si>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</si>
  <si>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</si>
  <si>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</si>
  <si>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</si>
  <si>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</si>
  <si>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</si>
  <si>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</si>
  <si>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</si>
  <si>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</si>
  <si>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</si>
  <si>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</si>
  <si>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</si>
  <si>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</si>
  <si>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</si>
  <si>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</si>
  <si>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</si>
  <si>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</si>
  <si>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</si>
  <si>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</si>
  <si>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</si>
  <si>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</si>
  <si>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</si>
  <si>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</si>
  <si>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</si>
  <si>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</si>
  <si>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</si>
  <si>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</si>
  <si>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</si>
  <si>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</si>
  <si>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</si>
  <si>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</si>
  <si>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</si>
  <si>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</si>
  <si>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</si>
  <si>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</si>
  <si>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</si>
  <si>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</si>
  <si>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</si>
  <si>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</si>
  <si>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</si>
  <si>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</si>
  <si>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</si>
  <si>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</si>
  <si>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</si>
  <si>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</si>
  <si>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</si>
  <si>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</si>
  <si>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</si>
  <si>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</si>
  <si>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</si>
  <si>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</si>
  <si>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</si>
  <si>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</si>
  <si>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</si>
  <si>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</si>
  <si>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</si>
  <si>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</si>
  <si>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</si>
  <si>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</si>
  <si>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</si>
  <si>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</si>
  <si>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</si>
  <si>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</si>
  <si>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</si>
  <si>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</si>
  <si>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</si>
  <si>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</si>
  <si>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</si>
  <si>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</si>
  <si>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</si>
  <si>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</si>
  <si>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</si>
  <si>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</si>
  <si>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</si>
  <si>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</si>
  <si>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</si>
  <si>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</si>
  <si>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</si>
  <si>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</si>
  <si>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</si>
  <si>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</si>
  <si>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</si>
  <si>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</si>
  <si>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</si>
  <si>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</si>
  <si>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</si>
  <si>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</si>
  <si>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</si>
  <si>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</si>
  <si>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</si>
  <si>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</si>
  <si>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</si>
  <si>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</si>
  <si>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</si>
  <si>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</si>
  <si>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</si>
  <si>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</si>
  <si>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</si>
  <si>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</si>
  <si>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</si>
  <si>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</si>
  <si>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</si>
  <si>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</si>
  <si>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</si>
  <si>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</si>
  <si>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</si>
  <si>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</si>
  <si>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</si>
  <si>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</si>
  <si>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</si>
  <si>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</si>
  <si>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</si>
  <si>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</si>
  <si>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</si>
  <si>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</si>
  <si>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</si>
  <si>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</si>
  <si>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</si>
  <si>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</si>
  <si>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</si>
  <si>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</si>
  <si>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</si>
  <si>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</si>
  <si>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</si>
  <si>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</si>
  <si>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</si>
  <si>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</si>
  <si>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</si>
  <si>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</si>
  <si>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</si>
  <si>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</si>
  <si>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</si>
  <si>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</si>
  <si>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</si>
  <si>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</si>
  <si>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</si>
  <si>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</si>
  <si>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</si>
  <si>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</si>
  <si>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</si>
  <si>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</si>
  <si>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</si>
  <si>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</si>
  <si>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</si>
  <si>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</si>
  <si>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</si>
  <si>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</si>
  <si>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</si>
  <si>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</si>
  <si>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</si>
  <si>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</si>
  <si>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</si>
  <si>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</si>
  <si>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</si>
  <si>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</si>
  <si>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</si>
  <si>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</si>
  <si>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</si>
  <si>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</si>
  <si>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</si>
  <si>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</si>
  <si>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</si>
  <si>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</si>
  <si>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</si>
  <si>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</si>
  <si>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</si>
  <si>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</si>
  <si>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</si>
  <si>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</si>
  <si>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</si>
  <si>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</si>
  <si>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</si>
  <si>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</si>
  <si>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</si>
  <si>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</si>
  <si>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</si>
  <si>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</si>
  <si>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</si>
  <si>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</si>
  <si>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</si>
  <si>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</si>
  <si>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</si>
  <si>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</si>
  <si>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</si>
  <si>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</si>
  <si>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</si>
  <si>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</si>
  <si>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</si>
  <si>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</si>
  <si>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</si>
  <si>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</si>
  <si>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</si>
  <si>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</si>
  <si>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</si>
  <si>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</si>
  <si>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</si>
  <si>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</si>
  <si>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</si>
  <si>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</si>
  <si>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</si>
  <si>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</si>
  <si>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</si>
  <si>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</si>
  <si>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</si>
  <si>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</si>
  <si>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</si>
  <si>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</si>
  <si>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</si>
  <si>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</si>
  <si>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</si>
  <si>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</si>
  <si>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</si>
  <si>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</si>
  <si>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</si>
  <si>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</si>
  <si>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</si>
  <si>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</si>
  <si>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</si>
  <si>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</si>
  <si>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</si>
  <si>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</si>
  <si>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</si>
  <si>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</si>
  <si>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</si>
  <si>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</si>
  <si>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</si>
  <si>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</si>
  <si>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</si>
  <si>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</si>
  <si>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</si>
  <si>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</si>
  <si>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</si>
  <si>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</si>
  <si>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</si>
  <si>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</si>
  <si>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</si>
  <si>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</si>
  <si>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</si>
  <si>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</si>
  <si>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</si>
  <si>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</si>
  <si>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</si>
  <si>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</si>
  <si>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</si>
  <si>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</si>
  <si>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</si>
  <si>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</si>
  <si>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</si>
  <si>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</si>
  <si>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</si>
  <si>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</si>
  <si>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</si>
  <si>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</si>
  <si>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</si>
  <si>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</si>
  <si>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</si>
  <si>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</si>
  <si>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</si>
  <si>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</si>
  <si>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</si>
  <si>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</si>
  <si>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</si>
  <si>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</si>
  <si>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</si>
  <si>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</si>
  <si>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</si>
  <si>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</si>
  <si>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</si>
  <si>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</si>
  <si>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</si>
  <si>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</si>
  <si>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</si>
  <si>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</si>
  <si>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</si>
  <si>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</si>
  <si>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</si>
  <si>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</si>
  <si>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</si>
  <si>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</si>
  <si>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</si>
  <si>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</si>
  <si>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</si>
  <si>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</si>
  <si>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</si>
  <si>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</si>
  <si>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</si>
  <si>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</si>
  <si>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</si>
  <si>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</si>
  <si>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</si>
  <si>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</si>
  <si>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</si>
  <si>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</si>
  <si>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</si>
  <si>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</si>
  <si>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</si>
  <si>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</si>
  <si>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</si>
  <si>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</si>
  <si>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</si>
  <si>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</si>
  <si>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</si>
  <si>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</si>
  <si>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</si>
  <si>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</si>
  <si>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</si>
  <si>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</si>
  <si>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</si>
  <si>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</si>
  <si>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</si>
  <si>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</si>
  <si>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</si>
  <si>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</si>
  <si>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</si>
  <si>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</si>
  <si>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</si>
  <si>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</si>
  <si>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</si>
  <si>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</si>
  <si>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</si>
  <si>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</si>
  <si>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</si>
  <si>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</si>
  <si>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</si>
  <si>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</si>
  <si>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</si>
  <si>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</si>
  <si>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</si>
  <si>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</si>
  <si>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</si>
  <si>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</si>
  <si>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</si>
  <si>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</si>
  <si>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</si>
  <si>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</si>
  <si>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</si>
  <si>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</si>
  <si>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</si>
  <si>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</si>
  <si>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</si>
  <si>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</si>
  <si>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</si>
  <si>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</si>
  <si>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</si>
  <si>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</si>
  <si>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</si>
  <si>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</si>
  <si>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</si>
  <si>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</si>
  <si>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</si>
  <si>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</si>
  <si>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</si>
  <si>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</si>
  <si>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</si>
  <si>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</si>
  <si>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</si>
  <si>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</si>
  <si>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</si>
  <si>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</si>
  <si>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</si>
  <si>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</si>
  <si>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</si>
  <si>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</si>
  <si>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</si>
  <si>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</si>
  <si>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</si>
  <si>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</si>
  <si>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</si>
  <si>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</si>
  <si>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</si>
  <si>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</si>
  <si>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</si>
  <si>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</si>
  <si>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</si>
  <si>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</si>
  <si>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</si>
  <si>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</si>
  <si>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</si>
  <si>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</si>
  <si>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</si>
  <si>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</si>
  <si>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</si>
  <si>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</si>
  <si>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</si>
  <si>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</si>
  <si>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</si>
  <si>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</si>
  <si>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</si>
  <si>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</si>
  <si>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</si>
  <si>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</si>
  <si>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</si>
  <si>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</si>
  <si>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</si>
  <si>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</si>
  <si>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</si>
  <si>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</si>
  <si>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</si>
  <si>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</si>
  <si>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</si>
  <si>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</si>
  <si>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</si>
  <si>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</si>
  <si>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</si>
  <si>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</si>
  <si>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</si>
  <si>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</si>
  <si>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</si>
  <si>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</si>
  <si>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</si>
  <si>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</si>
  <si>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</si>
  <si>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</si>
  <si>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</si>
  <si>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</si>
  <si>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</si>
  <si>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</si>
  <si>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</si>
  <si>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</si>
  <si>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</si>
  <si>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</si>
  <si>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</si>
  <si>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</si>
  <si>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</si>
  <si>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</si>
  <si>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</si>
  <si>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</si>
  <si>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</si>
  <si>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</si>
  <si>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</si>
  <si>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</si>
  <si>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</si>
  <si>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</si>
  <si>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</si>
  <si>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</si>
  <si>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</si>
  <si>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</si>
  <si>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</si>
  <si>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</si>
  <si>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</si>
  <si>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</si>
  <si>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</si>
  <si>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</si>
  <si>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</si>
  <si>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</si>
  <si>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</si>
  <si>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</si>
  <si>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</si>
  <si>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</si>
  <si>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</si>
  <si>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</si>
  <si>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</si>
  <si>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</si>
  <si>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</si>
  <si>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</si>
  <si>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</si>
  <si>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</si>
  <si>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</si>
  <si>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</si>
  <si>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</si>
  <si>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</si>
  <si>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</si>
  <si>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</si>
  <si>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</si>
  <si>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</si>
  <si>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</si>
  <si>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</si>
  <si>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</si>
  <si>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</si>
  <si>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</si>
  <si>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</si>
  <si>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</si>
  <si>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</si>
  <si>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</si>
  <si>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</si>
  <si>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</si>
  <si>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</si>
  <si>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</si>
  <si>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</si>
  <si>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</si>
  <si>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</si>
  <si>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</si>
  <si>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</si>
  <si>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</si>
  <si>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</si>
  <si>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</si>
  <si>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</si>
  <si>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</si>
  <si>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</si>
  <si>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</si>
  <si>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</si>
  <si>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</si>
  <si>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</si>
  <si>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</si>
  <si>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</si>
  <si>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</si>
  <si>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</si>
  <si>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</si>
  <si>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</si>
  <si>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</si>
  <si>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</si>
  <si>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</si>
  <si>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</si>
  <si>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</si>
  <si>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</si>
  <si>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</si>
  <si>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</si>
  <si>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</si>
  <si>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</si>
  <si>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</si>
  <si>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</si>
  <si>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</si>
  <si>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</si>
  <si>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</si>
  <si>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</si>
  <si>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</si>
  <si>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</si>
  <si>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</si>
  <si>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</si>
  <si>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</si>
  <si>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</si>
  <si>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</si>
  <si>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</si>
  <si>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</si>
  <si>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</si>
  <si>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</si>
  <si>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</si>
  <si>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</si>
  <si>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</si>
  <si>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</si>
  <si>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</si>
  <si>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</si>
  <si>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</si>
  <si>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</si>
  <si>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</si>
  <si>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</si>
  <si>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</si>
  <si>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</si>
  <si>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</si>
  <si>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</si>
  <si>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</si>
  <si>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</si>
  <si>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</si>
  <si>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</si>
  <si>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</si>
  <si>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</si>
  <si>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</si>
  <si>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</si>
  <si>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</si>
  <si>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</si>
  <si>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</si>
  <si>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</si>
  <si>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</si>
  <si>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</si>
  <si>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</si>
  <si>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</si>
  <si>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</si>
  <si>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</si>
  <si>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</si>
  <si>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</si>
  <si>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</si>
  <si>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</si>
  <si>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</si>
  <si>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</si>
  <si>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</si>
  <si>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</si>
  <si>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</si>
  <si>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</si>
  <si>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</si>
  <si>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</si>
  <si>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</si>
  <si>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</si>
  <si>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</si>
  <si>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</si>
  <si>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</si>
  <si>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</si>
  <si>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</si>
  <si>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</si>
  <si>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</si>
  <si>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</si>
  <si>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</si>
  <si>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</si>
  <si>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</si>
  <si>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</si>
  <si>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</si>
  <si>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</si>
  <si>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</si>
  <si>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</si>
  <si>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</si>
  <si>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</si>
  <si>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</si>
  <si>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</si>
  <si>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</si>
  <si>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</si>
  <si>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</si>
  <si>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</si>
  <si>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</si>
  <si>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</si>
  <si>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</si>
  <si>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</si>
  <si>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</si>
  <si>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</si>
  <si>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</si>
  <si>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</si>
  <si>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</si>
  <si>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</si>
  <si>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</si>
  <si>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</si>
  <si>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</si>
  <si>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</si>
  <si>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</si>
  <si>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</si>
  <si>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</si>
  <si>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</si>
  <si>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</si>
  <si>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</si>
  <si>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</si>
  <si>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</si>
  <si>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</si>
  <si>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</si>
  <si>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</si>
  <si>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</si>
  <si>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</si>
  <si>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</si>
  <si>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</si>
  <si>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</si>
  <si>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</si>
  <si>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</si>
  <si>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</si>
  <si>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</si>
  <si>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</si>
  <si>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</si>
  <si>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</si>
  <si>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</si>
  <si>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</si>
  <si>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</si>
  <si>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</si>
  <si>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</si>
  <si>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</si>
  <si>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</si>
  <si>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</si>
  <si>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</si>
  <si>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</si>
  <si>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</si>
  <si>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</si>
  <si>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</si>
  <si>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</si>
  <si>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</si>
  <si>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</si>
  <si>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</si>
  <si>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</si>
  <si>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</si>
  <si>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</si>
  <si>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</si>
  <si>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</si>
  <si>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</si>
  <si>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</si>
  <si>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</si>
  <si>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</si>
  <si>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</si>
  <si>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</si>
  <si>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</si>
  <si>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</si>
  <si>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</si>
  <si>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</si>
  <si>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</si>
  <si>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</si>
  <si>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</si>
  <si>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</si>
  <si>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</si>
  <si>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</si>
  <si>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</si>
  <si>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</si>
  <si>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</si>
  <si>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</si>
  <si>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</si>
  <si>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</si>
  <si>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</si>
  <si>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</si>
  <si>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</si>
  <si>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</si>
  <si>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</si>
  <si>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</si>
  <si>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</si>
  <si>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</si>
  <si>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</si>
  <si>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</si>
  <si>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</si>
  <si>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</si>
  <si>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</si>
  <si>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</si>
  <si>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</si>
  <si>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</si>
  <si>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</si>
  <si>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</si>
  <si>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</si>
  <si>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</si>
  <si>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</si>
  <si>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</si>
  <si>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</si>
  <si>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</si>
  <si>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</si>
  <si>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</si>
  <si>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</si>
  <si>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</si>
  <si>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</si>
  <si>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</si>
  <si>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</si>
  <si>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</si>
  <si>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</si>
  <si>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</si>
  <si>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</si>
  <si>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</si>
  <si>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</si>
  <si>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</si>
  <si>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</si>
  <si>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</si>
  <si>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</si>
  <si>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</si>
  <si>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</si>
  <si>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</si>
  <si>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</si>
  <si>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</si>
  <si>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</si>
  <si>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</si>
  <si>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</si>
  <si>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</si>
  <si>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</si>
  <si>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</si>
  <si>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</si>
  <si>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</si>
  <si>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</si>
  <si>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</si>
  <si>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</si>
  <si>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</si>
  <si>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</si>
  <si>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</si>
  <si>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</si>
  <si>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</si>
  <si>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</si>
  <si>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</si>
  <si>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</si>
  <si>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</si>
  <si>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</si>
  <si>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</si>
  <si>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</si>
  <si>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</si>
  <si>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</si>
  <si>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</si>
  <si>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</si>
  <si>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</si>
  <si>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</si>
  <si>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</si>
  <si>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</si>
  <si>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</si>
  <si>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</si>
  <si>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</si>
  <si>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</si>
  <si>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</si>
  <si>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</si>
  <si>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</si>
  <si>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</si>
  <si>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</si>
  <si>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</si>
  <si>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</si>
  <si>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</si>
  <si>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</si>
  <si>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</si>
  <si>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</si>
  <si>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</si>
  <si>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</si>
  <si>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</si>
  <si>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</si>
  <si>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</si>
  <si>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</si>
  <si>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</si>
  <si>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</si>
  <si>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</si>
  <si>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</si>
  <si>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</si>
  <si>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</si>
  <si>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</si>
  <si>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</si>
  <si>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</si>
  <si>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</si>
  <si>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</si>
  <si>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</si>
  <si>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</si>
  <si>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</si>
  <si>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</si>
  <si>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</si>
  <si>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</si>
  <si>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</si>
  <si>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</si>
  <si>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</si>
  <si>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</si>
  <si>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</si>
  <si>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</si>
  <si>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</si>
  <si>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</si>
  <si>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</si>
  <si>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</si>
  <si>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</si>
  <si>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</si>
  <si>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</si>
  <si>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</si>
  <si>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</si>
  <si>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</si>
  <si>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</si>
  <si>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</si>
  <si>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</si>
  <si>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</si>
  <si>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</si>
  <si>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</si>
  <si>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</si>
  <si>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</si>
  <si>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</si>
  <si>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</si>
  <si>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</si>
  <si>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</si>
  <si>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</si>
  <si>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</si>
  <si>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</si>
  <si>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</si>
  <si>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</si>
  <si>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</si>
  <si>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</si>
  <si>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</si>
  <si>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</si>
  <si>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</si>
  <si>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</si>
  <si>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</si>
  <si>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</si>
  <si>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</si>
  <si>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</si>
  <si>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</si>
  <si>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</si>
  <si>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</si>
  <si>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</si>
  <si>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</si>
  <si>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</si>
  <si>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</si>
  <si>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</si>
  <si>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</si>
  <si>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</si>
  <si>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</si>
  <si>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</si>
  <si>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</si>
  <si>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</si>
  <si>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</si>
  <si>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</si>
  <si>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</si>
  <si>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</si>
  <si>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</si>
  <si>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</si>
  <si>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</si>
  <si>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</si>
  <si>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</si>
  <si>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</si>
  <si>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</si>
  <si>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</si>
  <si>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</si>
  <si>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</si>
  <si>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</si>
  <si>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</si>
  <si>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</si>
  <si>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</si>
  <si>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</si>
  <si>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</si>
  <si>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</si>
  <si>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</si>
  <si>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</si>
  <si>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</si>
  <si>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</si>
  <si>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</si>
  <si>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</si>
  <si>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</si>
  <si>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</si>
  <si>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</si>
  <si>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</si>
  <si>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</si>
  <si>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</si>
  <si>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</si>
  <si>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</si>
  <si>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</si>
  <si>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</si>
  <si>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</si>
  <si>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</si>
  <si>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</si>
  <si>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</si>
  <si>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</si>
  <si>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</si>
  <si>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</si>
  <si>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</si>
  <si>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</si>
  <si>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</si>
  <si>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</si>
  <si>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</si>
  <si>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</si>
  <si>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</si>
  <si>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</si>
  <si>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</si>
  <si>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</si>
  <si>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</si>
  <si>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</si>
  <si>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</si>
  <si>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</si>
  <si>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</si>
  <si>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</si>
  <si>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</si>
  <si>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</si>
  <si>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</si>
  <si>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</si>
  <si>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</si>
  <si>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</si>
  <si>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</si>
  <si>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</si>
  <si>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</si>
  <si>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</si>
  <si>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</si>
  <si>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</si>
  <si>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</si>
  <si>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</si>
  <si>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</si>
  <si>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</si>
  <si>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</si>
  <si>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</si>
  <si>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</si>
  <si>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</si>
  <si>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</si>
  <si>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</si>
  <si>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</si>
  <si>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</si>
  <si>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</si>
  <si>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</si>
  <si>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</si>
  <si>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</si>
  <si>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</si>
  <si>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</si>
  <si>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</si>
  <si>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</si>
  <si>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</si>
  <si>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</si>
  <si>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</si>
  <si>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</si>
  <si>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</si>
  <si>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</si>
  <si>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</si>
  <si>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</si>
  <si>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</si>
  <si>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</si>
  <si>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</si>
  <si>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</si>
  <si>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</si>
  <si>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</si>
  <si>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</si>
  <si>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</si>
  <si>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</si>
  <si>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</si>
  <si>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</si>
  <si>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</si>
  <si>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</si>
  <si>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</si>
  <si>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</si>
  <si>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</si>
  <si>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</si>
  <si>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</si>
  <si>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</si>
  <si>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</si>
  <si>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</si>
  <si>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</si>
  <si>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</si>
  <si>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</si>
  <si>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</si>
  <si>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</si>
  <si>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</si>
  <si>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</si>
  <si>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</si>
  <si>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</si>
  <si>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</si>
  <si>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</si>
  <si>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</si>
  <si>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</si>
  <si>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</si>
  <si>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</si>
  <si>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</si>
  <si>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</si>
  <si>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</si>
  <si>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</si>
  <si>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</si>
  <si>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</si>
  <si>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</si>
  <si>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</si>
  <si>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</si>
  <si>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</si>
  <si>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</si>
  <si>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</si>
  <si>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</si>
  <si>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</si>
  <si>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</si>
  <si>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</si>
  <si>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</si>
  <si>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</si>
  <si>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</si>
  <si>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</si>
  <si>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</si>
  <si>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</si>
  <si>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</si>
  <si>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</si>
  <si>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</si>
  <si>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</si>
  <si>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</si>
  <si>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</si>
  <si>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</si>
  <si>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</si>
  <si>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</si>
  <si>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</si>
  <si>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</si>
  <si>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</si>
  <si>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</si>
  <si>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</si>
  <si>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</si>
  <si>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</si>
  <si>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</si>
  <si>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</si>
  <si>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</si>
  <si>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</si>
  <si>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</si>
  <si>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</si>
  <si>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</si>
  <si>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</si>
  <si>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</si>
  <si>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</si>
  <si>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</si>
  <si>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</si>
  <si>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</si>
  <si>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</si>
  <si>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</si>
  <si>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</si>
  <si>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</si>
  <si>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</si>
  <si>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</si>
  <si>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</si>
  <si>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</si>
  <si>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</si>
  <si>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</si>
  <si>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</si>
  <si>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</si>
  <si>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</si>
  <si>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</si>
  <si>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</si>
  <si>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</si>
  <si>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</si>
  <si>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</si>
  <si>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</si>
  <si>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</si>
  <si>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</si>
  <si>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</si>
  <si>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</si>
  <si>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</si>
  <si>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</si>
  <si>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</si>
  <si>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</si>
  <si>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</si>
  <si>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</si>
  <si>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</si>
  <si>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</si>
  <si>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</si>
  <si>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</si>
  <si>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</si>
  <si>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</si>
  <si>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</si>
  <si>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</si>
  <si>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</si>
  <si>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</si>
  <si>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</si>
  <si>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</si>
  <si>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</si>
  <si>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</si>
  <si>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</si>
  <si>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</si>
  <si>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</si>
  <si>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</si>
  <si>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</si>
  <si>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</si>
  <si>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</si>
  <si>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</si>
  <si>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</si>
  <si>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</si>
  <si>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</si>
  <si>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</si>
  <si>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</si>
  <si>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</si>
  <si>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</si>
  <si>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</si>
  <si>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</si>
  <si>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</si>
  <si>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</si>
  <si>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</si>
  <si>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</si>
  <si>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</si>
  <si>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</si>
  <si>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</si>
  <si>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</si>
  <si>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</si>
  <si>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</si>
  <si>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</si>
  <si>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</si>
  <si>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</si>
  <si>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</si>
  <si>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</si>
  <si>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</si>
  <si>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</si>
  <si>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</si>
  <si>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</si>
  <si>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</si>
  <si>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</si>
  <si>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</si>
  <si>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</si>
  <si>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</si>
  <si>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</si>
  <si>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</si>
  <si>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</si>
  <si>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</si>
  <si>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</si>
  <si>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</si>
  <si>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</si>
  <si>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</si>
  <si>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</si>
  <si>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</si>
  <si>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</si>
  <si>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</si>
  <si>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</si>
  <si>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</si>
  <si>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</si>
  <si>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</si>
  <si>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</si>
  <si>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</si>
  <si>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</si>
  <si>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</si>
  <si>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</si>
  <si>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</si>
  <si>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</si>
  <si>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</si>
  <si>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</si>
  <si>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</si>
  <si>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</si>
  <si>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</si>
  <si>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</si>
  <si>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</si>
  <si>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</si>
  <si>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</si>
  <si>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</si>
  <si>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</si>
  <si>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</si>
  <si>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</si>
  <si>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</si>
  <si>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</si>
  <si>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</si>
  <si>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</si>
  <si>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</si>
  <si>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</si>
  <si>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</si>
  <si>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</si>
  <si>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</si>
  <si>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</si>
  <si>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</si>
  <si>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</si>
  <si>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</si>
  <si>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</si>
  <si>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</si>
  <si>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</si>
  <si>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</si>
  <si>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</si>
  <si>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</si>
  <si>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</si>
  <si>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</si>
  <si>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</si>
  <si>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</si>
  <si>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</si>
  <si>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</si>
  <si>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</si>
  <si>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</si>
  <si>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</si>
  <si>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</si>
  <si>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</si>
  <si>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</si>
  <si>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</si>
  <si>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</si>
  <si>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</si>
  <si>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</si>
  <si>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</si>
  <si>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</si>
  <si>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</si>
  <si>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</si>
  <si>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</si>
  <si>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</si>
  <si>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</si>
  <si>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</si>
  <si>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</si>
  <si>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</si>
  <si>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</si>
  <si>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</si>
  <si>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</si>
  <si>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</si>
  <si>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</si>
  <si>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</si>
  <si>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</si>
  <si>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</si>
  <si>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</si>
  <si>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</si>
  <si>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</si>
  <si>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</si>
  <si>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</si>
  <si>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</si>
  <si>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</si>
  <si>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</si>
  <si>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</si>
  <si>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</si>
  <si>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</si>
  <si>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</si>
  <si>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</si>
  <si>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</si>
  <si>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</si>
  <si>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</si>
  <si>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</si>
  <si>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</si>
  <si>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</si>
  <si>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</si>
  <si>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</si>
  <si>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</si>
  <si>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</si>
  <si>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</si>
  <si>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</si>
  <si>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</si>
  <si>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</si>
  <si>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</si>
  <si>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</si>
  <si>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</si>
  <si>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</si>
  <si>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</si>
  <si>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</si>
  <si>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</si>
  <si>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</si>
  <si>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</si>
  <si>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</si>
  <si>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</si>
  <si>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</si>
  <si>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</si>
  <si>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</si>
  <si>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</si>
  <si>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</si>
  <si>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</si>
  <si>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</si>
  <si>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</si>
  <si>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</si>
  <si>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</si>
  <si>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</si>
  <si>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</si>
  <si>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</si>
  <si>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</si>
  <si>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</si>
  <si>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</si>
  <si>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</si>
  <si>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</si>
  <si>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</si>
  <si>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</si>
  <si>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</si>
  <si>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</si>
  <si>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</si>
  <si>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</si>
  <si>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</si>
  <si>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</si>
  <si>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</si>
  <si>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</si>
  <si>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</si>
  <si>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</si>
  <si>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</si>
  <si>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</si>
  <si>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</si>
  <si>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</si>
  <si>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</si>
  <si>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</si>
  <si>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</si>
  <si>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</si>
  <si>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</si>
  <si>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</si>
  <si>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</si>
  <si>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</si>
  <si>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</si>
  <si>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</si>
  <si>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</si>
  <si>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</si>
  <si>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</si>
  <si>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</si>
  <si>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</si>
  <si>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</si>
  <si>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</si>
  <si>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</si>
  <si>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</si>
  <si>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</si>
  <si>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</si>
  <si>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</si>
  <si>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</si>
  <si>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</si>
  <si>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</si>
  <si>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</si>
  <si>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</si>
  <si>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</si>
  <si>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</si>
  <si>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</si>
  <si>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</si>
  <si>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</si>
  <si>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</si>
  <si>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</si>
  <si>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</si>
  <si>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</si>
  <si>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</si>
  <si>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</si>
  <si>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</si>
  <si>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</si>
  <si>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</si>
  <si>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</si>
  <si>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</si>
  <si>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</si>
  <si>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</si>
  <si>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</si>
  <si>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</si>
  <si>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</si>
  <si>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</si>
  <si>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</si>
  <si>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</si>
  <si>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</si>
  <si>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</si>
  <si>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</si>
  <si>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</si>
  <si>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</si>
  <si>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</si>
  <si>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</si>
  <si>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</si>
  <si>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</si>
  <si>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</si>
  <si>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</si>
  <si>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</si>
  <si>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</si>
  <si>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</si>
  <si>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</si>
  <si>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</si>
  <si>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</si>
  <si>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</si>
  <si>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</si>
  <si>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</si>
  <si>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</si>
  <si>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</si>
  <si>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</si>
  <si>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</si>
  <si>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</si>
  <si>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</si>
  <si>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</si>
  <si>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</si>
  <si>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</si>
  <si>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</si>
  <si>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</si>
  <si>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</si>
  <si>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</si>
  <si>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</si>
  <si>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</si>
  <si>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</si>
  <si>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</si>
  <si>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</si>
  <si>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</si>
  <si>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</si>
  <si>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</si>
  <si>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</si>
  <si>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</si>
  <si>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</si>
  <si>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</si>
  <si>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</si>
  <si>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</si>
  <si>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</si>
  <si>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</si>
  <si>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</si>
  <si>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</si>
  <si>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</si>
  <si>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</si>
  <si>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</si>
  <si>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</si>
  <si>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</si>
  <si>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</si>
  <si>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</si>
  <si>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</si>
  <si>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</si>
  <si>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</si>
  <si>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</si>
  <si>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</si>
  <si>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</si>
  <si>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</si>
  <si>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</si>
  <si>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</si>
  <si>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</si>
  <si>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</si>
  <si>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</si>
  <si>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</si>
  <si>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</si>
  <si>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</si>
  <si>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</si>
  <si>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</si>
  <si>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</si>
  <si>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</si>
  <si>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</si>
  <si>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</si>
  <si>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</si>
  <si>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</si>
  <si>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</si>
  <si>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</si>
  <si>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</si>
  <si>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</si>
  <si>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</si>
  <si>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</si>
  <si>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</si>
  <si>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</si>
  <si>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</si>
  <si>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</si>
  <si>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</si>
  <si>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</si>
  <si>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</si>
  <si>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</si>
  <si>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</si>
  <si>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</si>
  <si>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</si>
  <si>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</si>
  <si>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</si>
  <si>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</si>
  <si>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</si>
  <si>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</si>
  <si>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</si>
  <si>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</si>
  <si>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</si>
  <si>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</si>
  <si>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</si>
  <si>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</si>
  <si>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</si>
  <si>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</si>
  <si>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</si>
  <si>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</si>
  <si>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</si>
  <si>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</si>
  <si>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</si>
  <si>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</si>
  <si>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</si>
  <si>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</si>
  <si>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</si>
  <si>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</si>
  <si>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</si>
  <si>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</si>
  <si>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</si>
  <si>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</si>
  <si>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</si>
  <si>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</si>
  <si>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</si>
  <si>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</si>
  <si>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</si>
  <si>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</si>
  <si>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</si>
  <si>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</si>
  <si>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</si>
  <si>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</si>
  <si>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</si>
  <si>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</si>
  <si>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</si>
  <si>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</si>
  <si>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</si>
  <si>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</si>
  <si>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</si>
  <si>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</si>
  <si>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</si>
  <si>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</si>
  <si>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</si>
  <si>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</si>
  <si>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</si>
  <si>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</si>
  <si>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</si>
  <si>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</si>
  <si>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</si>
  <si>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</si>
  <si>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</si>
  <si>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</si>
  <si>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</si>
  <si>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</si>
  <si>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</si>
  <si>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</si>
  <si>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</si>
  <si>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</si>
  <si>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</si>
  <si>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</si>
  <si>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</si>
  <si>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</si>
  <si>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</si>
  <si>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</si>
  <si>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</si>
  <si>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</si>
  <si>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</si>
  <si>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</si>
  <si>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</si>
  <si>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</si>
  <si>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</si>
  <si>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</si>
  <si>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</si>
  <si>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</si>
  <si>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</si>
  <si>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</si>
  <si>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</si>
  <si>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</si>
  <si>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</si>
  <si>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</si>
  <si>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</si>
  <si>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</si>
  <si>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</si>
  <si>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</si>
  <si>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</si>
  <si>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</si>
  <si>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</si>
  <si>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</si>
  <si>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</si>
  <si>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</si>
  <si>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</si>
  <si>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</si>
  <si>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</si>
  <si>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</si>
  <si>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</si>
  <si>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</si>
  <si>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</si>
  <si>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</si>
  <si>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</si>
  <si>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</si>
  <si>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</si>
  <si>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</si>
  <si>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</si>
  <si>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</si>
  <si>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</si>
  <si>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</si>
  <si>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</si>
  <si>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</si>
  <si>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</si>
  <si>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</si>
  <si>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</si>
  <si>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</si>
  <si>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</si>
  <si>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</si>
  <si>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</si>
  <si>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</si>
  <si>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</si>
  <si>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</si>
  <si>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</si>
  <si>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</si>
  <si>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</si>
  <si>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</si>
  <si>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</si>
  <si>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</si>
  <si>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</si>
  <si>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</si>
  <si>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</si>
  <si>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</si>
  <si>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</si>
  <si>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</si>
  <si>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</si>
  <si>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</si>
  <si>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</si>
  <si>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</si>
  <si>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</si>
  <si>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</si>
  <si>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</si>
  <si>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</si>
  <si>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</si>
  <si>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</si>
  <si>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</si>
  <si>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</si>
  <si>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</si>
  <si>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</si>
  <si>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</si>
  <si>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</si>
  <si>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</si>
  <si>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</si>
  <si>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</si>
  <si>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</si>
  <si>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</si>
  <si>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</si>
  <si>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</si>
  <si>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</si>
  <si>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</si>
  <si>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</si>
  <si>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</si>
  <si>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</si>
  <si>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</si>
  <si>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</si>
  <si>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</si>
  <si>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</si>
  <si>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</si>
  <si>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</si>
  <si>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</si>
  <si>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</si>
  <si>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</si>
  <si>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</si>
  <si>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</si>
  <si>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</si>
  <si>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</si>
  <si>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</si>
  <si>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</si>
  <si>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</si>
  <si>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</si>
  <si>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</si>
  <si>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</si>
  <si>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</si>
  <si>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</si>
  <si>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</si>
  <si>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</si>
  <si>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</si>
  <si>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</si>
  <si>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</si>
  <si>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</si>
  <si>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</si>
  <si>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</si>
  <si>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</si>
  <si>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</si>
  <si>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</si>
  <si>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</si>
  <si>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</si>
  <si>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</si>
  <si>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</si>
  <si>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</si>
  <si>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</si>
  <si>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</si>
  <si>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</si>
  <si>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</si>
  <si>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</si>
  <si>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</si>
  <si>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</si>
  <si>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</si>
  <si>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</si>
  <si>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</si>
  <si>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</si>
  <si>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</si>
  <si>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</si>
  <si>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</si>
  <si>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</si>
  <si>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</si>
  <si>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</si>
  <si>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</si>
  <si>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</si>
  <si>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</si>
  <si>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</si>
  <si>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</si>
  <si>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</si>
  <si>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</si>
  <si>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</si>
  <si>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</si>
  <si>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</si>
  <si>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</si>
  <si>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</si>
  <si>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</si>
  <si>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</si>
  <si>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</si>
  <si>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</si>
  <si>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</si>
  <si>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</si>
  <si>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</si>
  <si>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</si>
  <si>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</si>
  <si>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</si>
  <si>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</si>
  <si>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</si>
  <si>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</si>
  <si>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</si>
  <si>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</si>
  <si>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</si>
  <si>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</si>
  <si>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</si>
  <si>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</si>
  <si>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</si>
  <si>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</si>
  <si>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</si>
  <si>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</si>
  <si>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</si>
  <si>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</si>
  <si>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</si>
  <si>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</si>
  <si>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</si>
  <si>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</si>
  <si>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</si>
  <si>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</si>
  <si>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</si>
  <si>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</si>
  <si>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</si>
  <si>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</si>
  <si>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</si>
  <si>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</si>
  <si>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</si>
  <si>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</si>
  <si>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</si>
  <si>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</si>
  <si>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</si>
  <si>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</si>
  <si>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</si>
  <si>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</si>
  <si>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</si>
  <si>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</si>
  <si>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</si>
  <si>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</si>
  <si>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</si>
  <si>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</si>
  <si>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</si>
  <si>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</si>
  <si>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</si>
  <si>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</si>
  <si>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</si>
  <si>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</si>
  <si>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</si>
  <si>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</si>
  <si>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</si>
  <si>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</si>
  <si>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</si>
  <si>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</si>
  <si>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</si>
  <si>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</si>
  <si>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</si>
  <si>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</si>
  <si>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</si>
  <si>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</si>
  <si>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</si>
  <si>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</si>
  <si>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</si>
  <si>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</si>
  <si>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</si>
  <si>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</si>
  <si>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</si>
  <si>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</si>
  <si>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</si>
  <si>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</si>
  <si>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</si>
  <si>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</si>
  <si>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</si>
  <si>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</si>
  <si>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</si>
  <si>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</si>
  <si>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</si>
  <si>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</si>
  <si>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</si>
  <si>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</si>
  <si>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</si>
  <si>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</si>
  <si>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</si>
  <si>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</si>
  <si>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</si>
  <si>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</si>
  <si>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</si>
  <si>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</si>
  <si>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</si>
  <si>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</si>
  <si>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</si>
  <si>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</si>
  <si>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</si>
  <si>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</si>
  <si>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</si>
  <si>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</si>
  <si>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</si>
  <si>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</si>
  <si>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</si>
  <si>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</si>
  <si>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</si>
  <si>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</si>
  <si>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</si>
  <si>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</si>
  <si>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</si>
  <si>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</si>
  <si>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</si>
  <si>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</si>
  <si>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</si>
  <si>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</si>
  <si>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</si>
  <si>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</si>
  <si>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</si>
  <si>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</si>
  <si>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</si>
  <si>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</si>
  <si>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</si>
  <si>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</si>
  <si>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</si>
  <si>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</si>
  <si>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</si>
  <si>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</si>
  <si>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</si>
  <si>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</si>
  <si>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</si>
  <si>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</si>
  <si>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</si>
  <si>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</si>
  <si>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</si>
  <si>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</si>
  <si>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</si>
  <si>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</si>
  <si>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</si>
  <si>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</si>
  <si>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</si>
  <si>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</si>
  <si>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</si>
  <si>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</si>
  <si>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</si>
  <si>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</si>
  <si>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</si>
  <si>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</si>
  <si>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</si>
  <si>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</si>
  <si>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</si>
  <si>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</si>
  <si>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</si>
  <si>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</si>
  <si>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</si>
  <si>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</si>
  <si>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</si>
  <si>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</si>
  <si>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</si>
  <si>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</si>
  <si>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</si>
  <si>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</si>
  <si>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</si>
  <si>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</si>
  <si>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</si>
  <si>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</si>
  <si>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</si>
  <si>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</si>
  <si>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</si>
  <si>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</si>
  <si>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</si>
  <si>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</si>
  <si>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</si>
  <si>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</si>
  <si>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</si>
  <si>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</si>
  <si>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</si>
  <si>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</si>
  <si>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</si>
  <si>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</si>
  <si>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</si>
  <si>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</si>
  <si>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</si>
  <si>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</si>
  <si>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</si>
  <si>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</si>
  <si>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</si>
  <si>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</si>
  <si>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</si>
  <si>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</si>
  <si>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</si>
  <si>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</si>
  <si>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</si>
  <si>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</si>
  <si>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</si>
  <si>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</si>
  <si>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</si>
  <si>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</si>
  <si>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</si>
  <si>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</si>
  <si>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</si>
  <si>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</si>
  <si>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</si>
  <si>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</si>
  <si>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</si>
  <si>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</si>
  <si>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</si>
  <si>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</si>
  <si>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</si>
  <si>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</si>
  <si>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</si>
  <si>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</si>
  <si>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</si>
  <si>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</si>
  <si>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</si>
  <si>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</si>
  <si>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</si>
  <si>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</si>
  <si>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</si>
  <si>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</si>
  <si>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</si>
  <si>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</si>
  <si>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</si>
  <si>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</si>
  <si>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</si>
  <si>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</si>
  <si>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</si>
  <si>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</si>
  <si>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</si>
  <si>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</si>
  <si>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</si>
  <si>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</si>
  <si>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</si>
  <si>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</si>
  <si>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</si>
  <si>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</si>
  <si>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</si>
  <si>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</si>
  <si>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</si>
  <si>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</si>
  <si>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</si>
  <si>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</si>
  <si>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</si>
  <si>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</si>
  <si>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</si>
  <si>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</si>
  <si>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</si>
  <si>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</si>
  <si>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</si>
  <si>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</si>
  <si>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</si>
  <si>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</si>
  <si>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</si>
  <si>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</si>
  <si>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</si>
  <si>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</si>
  <si>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</si>
  <si>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</si>
  <si>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</si>
  <si>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</si>
  <si>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</si>
  <si>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</si>
  <si>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</si>
  <si>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</si>
  <si>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</si>
  <si>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</si>
  <si>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</si>
  <si>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</si>
  <si>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</si>
  <si>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</si>
  <si>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</si>
  <si>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</si>
  <si>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</si>
  <si>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</si>
  <si>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</si>
  <si>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</si>
  <si>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</si>
  <si>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</si>
  <si>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</si>
  <si>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</si>
  <si>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</si>
  <si>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</si>
  <si>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</si>
  <si>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</si>
  <si>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</si>
  <si>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</si>
  <si>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</si>
  <si>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</si>
  <si>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</si>
  <si>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</si>
  <si>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</si>
  <si>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</si>
  <si>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</si>
  <si>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</si>
  <si>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</si>
  <si>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</si>
  <si>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</si>
  <si>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</si>
  <si>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</si>
  <si>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</si>
  <si>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</si>
  <si>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</si>
  <si>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</si>
  <si>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</si>
  <si>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</si>
  <si>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</si>
  <si>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</si>
  <si>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</si>
  <si>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</si>
  <si>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</si>
  <si>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</si>
  <si>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</si>
  <si>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</si>
  <si>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</si>
  <si>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</si>
  <si>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</si>
  <si>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</si>
  <si>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</si>
  <si>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</si>
  <si>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</si>
  <si>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</si>
  <si>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</si>
  <si>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</si>
  <si>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</si>
  <si>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</si>
  <si>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</si>
  <si>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</si>
  <si>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</si>
  <si>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</si>
  <si>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</si>
  <si>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</si>
  <si>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</si>
  <si>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</si>
  <si>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</si>
  <si>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</si>
  <si>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</si>
  <si>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</si>
  <si>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</si>
  <si>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</si>
  <si>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</si>
  <si>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</si>
  <si>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</si>
  <si>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</si>
  <si>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</si>
  <si>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</si>
  <si>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</si>
  <si>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</si>
  <si>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</si>
  <si>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</si>
  <si>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</si>
  <si>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</si>
  <si>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</si>
  <si>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</si>
  <si>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</si>
  <si>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</si>
  <si>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</si>
  <si>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</si>
  <si>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</si>
  <si>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</si>
  <si>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</si>
  <si>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</si>
  <si>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</si>
  <si>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</si>
  <si>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</si>
  <si>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</si>
  <si>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</si>
  <si>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</si>
  <si>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</si>
  <si>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</si>
  <si>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</si>
  <si>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</si>
  <si>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</si>
  <si>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</si>
  <si>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</si>
  <si>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</si>
  <si>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</si>
  <si>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</si>
  <si>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</si>
  <si>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</si>
  <si>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</si>
  <si>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</si>
  <si>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</si>
  <si>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</si>
  <si>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</si>
  <si>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</si>
  <si>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</si>
  <si>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</si>
  <si>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</si>
  <si>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</si>
  <si>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</si>
  <si>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</si>
  <si>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</si>
  <si>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</si>
  <si>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</si>
  <si>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</si>
  <si>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</si>
  <si>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</si>
  <si>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</si>
  <si>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</si>
  <si>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</si>
  <si>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</si>
  <si>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</si>
  <si>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</si>
  <si>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</si>
  <si>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</si>
  <si>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</si>
  <si>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</si>
  <si>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</si>
  <si>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</si>
  <si>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</si>
  <si>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</si>
  <si>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</si>
  <si>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</si>
  <si>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</si>
  <si>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</si>
  <si>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</si>
  <si>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</si>
  <si>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</si>
  <si>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</si>
  <si>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</si>
  <si>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</si>
  <si>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</si>
  <si>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</si>
  <si>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</si>
  <si>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</si>
  <si>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</si>
  <si>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</si>
  <si>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</si>
  <si>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</si>
  <si>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</si>
  <si>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</si>
  <si>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</si>
  <si>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</si>
  <si>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</si>
  <si>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</si>
  <si>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</si>
  <si>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</si>
  <si>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</si>
  <si>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</si>
  <si>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</si>
  <si>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</si>
  <si>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</si>
  <si>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</si>
  <si>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</si>
  <si>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</si>
  <si>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</si>
  <si>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</si>
  <si>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</si>
  <si>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</si>
  <si>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</si>
  <si>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</si>
  <si>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</si>
  <si>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</si>
  <si>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</si>
  <si>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</si>
  <si>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</si>
  <si>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</si>
  <si>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</si>
  <si>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</si>
  <si>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</si>
  <si>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</si>
  <si>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</si>
  <si>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</si>
  <si>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</si>
  <si>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</si>
  <si>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</si>
  <si>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</si>
  <si>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</si>
  <si>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</si>
  <si>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</si>
  <si>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</si>
  <si>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</si>
  <si>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</si>
  <si>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</si>
  <si>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</si>
  <si>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</si>
  <si>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</si>
  <si>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</si>
  <si>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</si>
  <si>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</si>
  <si>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</si>
  <si>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</si>
  <si>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</si>
  <si>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</si>
  <si>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</si>
  <si>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</si>
  <si>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</si>
  <si>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</si>
  <si>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</si>
  <si>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</si>
  <si>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</si>
  <si>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</si>
  <si>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</si>
  <si>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</si>
  <si>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</si>
  <si>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</si>
  <si>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</si>
  <si>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</si>
  <si>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</si>
  <si>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</si>
  <si>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</si>
  <si>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</si>
  <si>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</si>
  <si>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</si>
  <si>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</si>
  <si>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</si>
  <si>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</si>
  <si>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</si>
  <si>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</si>
  <si>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</si>
  <si>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</si>
  <si>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</si>
  <si>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</si>
  <si>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</si>
  <si>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</si>
  <si>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</si>
  <si>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</si>
  <si>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</si>
  <si>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</si>
  <si>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</si>
  <si>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</si>
  <si>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</si>
  <si>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</si>
  <si>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</si>
  <si>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</si>
  <si>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</si>
  <si>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</si>
  <si>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</si>
  <si>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</si>
  <si>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</si>
  <si>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</si>
  <si>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</si>
  <si>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</si>
  <si>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</si>
  <si>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</si>
  <si>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</si>
  <si>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</si>
  <si>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</si>
  <si>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</si>
  <si>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</si>
  <si>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</si>
  <si>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</si>
  <si>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</si>
  <si>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</si>
  <si>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</si>
  <si>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</si>
  <si>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</si>
  <si>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</si>
  <si>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</si>
  <si>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</si>
  <si>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</si>
  <si>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</si>
  <si>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</si>
  <si>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</si>
  <si>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</si>
  <si>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</si>
  <si>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</si>
  <si>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</si>
  <si>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</si>
  <si>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</si>
  <si>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</si>
  <si>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</si>
  <si>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</si>
  <si>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</si>
  <si>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</si>
  <si>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</si>
  <si>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</si>
  <si>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</si>
  <si>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</si>
  <si>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</si>
  <si>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</si>
  <si>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</si>
  <si>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</si>
  <si>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</si>
  <si>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</si>
  <si>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</si>
  <si>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</si>
  <si>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</si>
  <si>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</si>
  <si>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</si>
  <si>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</si>
  <si>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</si>
  <si>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</si>
  <si>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</si>
  <si>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</si>
  <si>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</si>
  <si>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</si>
  <si>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</si>
  <si>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</si>
  <si>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</si>
  <si>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</si>
  <si>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</si>
  <si>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</si>
  <si>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</si>
  <si>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</si>
  <si>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</si>
  <si>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</si>
  <si>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</si>
  <si>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</si>
  <si>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</si>
  <si>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</si>
  <si>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</si>
  <si>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</si>
  <si>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</si>
  <si>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</si>
  <si>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</si>
  <si>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</si>
  <si>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</si>
  <si>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</si>
  <si>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</si>
  <si>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</si>
  <si>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</si>
  <si>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</si>
  <si>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</si>
  <si>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</si>
  <si>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</si>
  <si>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</si>
  <si>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</si>
  <si>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</si>
  <si>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</si>
  <si>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</si>
  <si>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</si>
  <si>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</si>
  <si>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</si>
  <si>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</si>
  <si>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</si>
  <si>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</si>
  <si>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</si>
  <si>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</si>
  <si>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</si>
  <si>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</si>
  <si>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</si>
  <si>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</si>
  <si>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</si>
  <si>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</si>
  <si>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</si>
  <si>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</si>
  <si>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</si>
  <si>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</si>
  <si>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</si>
  <si>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</si>
  <si>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</si>
  <si>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</si>
  <si>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</si>
  <si>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</si>
  <si>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</si>
  <si>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</si>
  <si>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</si>
  <si>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</si>
  <si>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</si>
  <si>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</si>
  <si>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</si>
  <si>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</si>
  <si>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</si>
  <si>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</si>
  <si>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</si>
  <si>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</si>
  <si>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</si>
  <si>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</si>
  <si>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</si>
  <si>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</si>
  <si>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</si>
  <si>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</si>
  <si>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</si>
  <si>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</si>
  <si>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</si>
  <si>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</si>
  <si>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</si>
  <si>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</si>
  <si>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</si>
  <si>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</si>
  <si>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</si>
  <si>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</si>
  <si>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</si>
  <si>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</si>
  <si>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</si>
  <si>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</si>
  <si>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</si>
  <si>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</si>
  <si>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</si>
  <si>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</si>
  <si>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</si>
  <si>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</si>
  <si>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</si>
  <si>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</si>
  <si>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</si>
  <si>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</si>
  <si>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</si>
  <si>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</si>
  <si>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</si>
  <si>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</si>
  <si>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</si>
  <si>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</si>
  <si>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</si>
  <si>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</si>
  <si>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</si>
  <si>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</si>
  <si>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</si>
  <si>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</si>
  <si>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</si>
  <si>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</si>
  <si>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</si>
  <si>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</si>
  <si>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</si>
  <si>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</si>
  <si>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</si>
  <si>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</si>
  <si>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</si>
  <si>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</si>
  <si>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</si>
  <si>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</si>
  <si>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</si>
  <si>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</si>
  <si>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</si>
  <si>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</si>
  <si>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</si>
  <si>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</si>
  <si>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</si>
  <si>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</si>
  <si>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</si>
  <si>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</si>
  <si>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</si>
  <si>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</si>
  <si>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</si>
  <si>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</si>
  <si>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</si>
  <si>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</si>
  <si>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</si>
  <si>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</si>
  <si>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</si>
  <si>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</si>
  <si>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</si>
  <si>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</si>
  <si>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</si>
  <si>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</si>
  <si>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</si>
  <si>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</si>
  <si>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</si>
  <si>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</si>
  <si>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</si>
  <si>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</si>
  <si>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</si>
  <si>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</si>
  <si>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</si>
  <si>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</si>
  <si>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</si>
  <si>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</si>
  <si>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</si>
  <si>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</si>
  <si>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</si>
  <si>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</si>
  <si>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</si>
  <si>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</si>
  <si>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</si>
  <si>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</si>
  <si>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</si>
  <si>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</si>
  <si>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</si>
  <si>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</si>
  <si>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</si>
  <si>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</si>
  <si>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</si>
  <si>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</si>
  <si>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</si>
  <si>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</si>
  <si>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</si>
  <si>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</si>
  <si>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</si>
  <si>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</si>
  <si>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</si>
  <si>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</si>
  <si>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</si>
  <si>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</si>
  <si>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</si>
  <si>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</si>
  <si>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</si>
  <si>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</si>
  <si>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</si>
  <si>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</si>
  <si>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</si>
  <si>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</si>
  <si>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</si>
  <si>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</si>
  <si>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</si>
  <si>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</si>
  <si>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</si>
  <si>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</si>
  <si>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</si>
  <si>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</si>
  <si>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</si>
  <si>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</si>
  <si>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</si>
  <si>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</si>
  <si>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</si>
  <si>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</si>
  <si>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</si>
  <si>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</si>
  <si>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</si>
  <si>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</si>
  <si>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</si>
  <si>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</si>
  <si>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</si>
  <si>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</si>
  <si>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</si>
  <si>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</si>
  <si>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</si>
  <si>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</si>
  <si>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</si>
  <si>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</si>
  <si>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</si>
  <si>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</si>
  <si>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</si>
  <si>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</si>
  <si>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</si>
  <si>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</si>
  <si>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</si>
  <si>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</si>
  <si>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</si>
  <si>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</si>
  <si>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</si>
  <si>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</si>
  <si>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</si>
  <si>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</si>
  <si>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</si>
  <si>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</si>
  <si>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</si>
  <si>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</si>
  <si>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</si>
  <si>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</si>
  <si>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</si>
  <si>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</si>
  <si>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</si>
  <si>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</si>
  <si>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</si>
  <si>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</si>
  <si>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</si>
  <si>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</si>
  <si>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</si>
  <si>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</si>
  <si>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</si>
  <si>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</si>
  <si>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</si>
  <si>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</si>
  <si>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</si>
  <si>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</si>
  <si>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</si>
  <si>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</si>
  <si>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</si>
  <si>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</si>
  <si>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</si>
  <si>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</si>
  <si>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</si>
  <si>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</si>
  <si>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</si>
  <si>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</si>
  <si>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</si>
  <si>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</si>
  <si>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</si>
  <si>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</si>
  <si>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</si>
  <si>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</si>
  <si>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</si>
  <si>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</si>
  <si>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</si>
  <si>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</si>
  <si>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</si>
  <si>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</si>
  <si>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</si>
  <si>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</si>
  <si>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</si>
  <si>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</si>
  <si>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</si>
  <si>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</si>
  <si>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</si>
  <si>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</si>
  <si>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</si>
  <si>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</si>
  <si>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</si>
  <si>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</si>
  <si>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</si>
  <si>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</si>
  <si>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</si>
  <si>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</si>
  <si>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</si>
  <si>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</si>
  <si>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</si>
  <si>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</si>
  <si>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</si>
  <si>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</si>
  <si>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</si>
  <si>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</si>
  <si>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</si>
  <si>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</si>
  <si>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</si>
  <si>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</si>
  <si>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</si>
  <si>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</si>
  <si>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</si>
  <si>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</si>
  <si>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</si>
  <si>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</si>
  <si>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</si>
  <si>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</si>
  <si>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</si>
  <si>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</si>
  <si>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</si>
  <si>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</si>
  <si>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</si>
  <si>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</si>
  <si>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</si>
  <si>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</si>
  <si>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</si>
  <si>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</si>
  <si>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</si>
  <si>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</si>
  <si>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</si>
  <si>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</si>
  <si>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</si>
  <si>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</si>
  <si>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</si>
  <si>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</si>
  <si>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</si>
  <si>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</si>
  <si>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</si>
  <si>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</si>
  <si>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</si>
  <si>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</si>
  <si>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</si>
  <si>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</si>
  <si>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</si>
  <si>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</si>
  <si>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</si>
  <si>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</si>
  <si>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</si>
  <si>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</si>
  <si>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</si>
  <si>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</si>
  <si>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</si>
  <si>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</si>
  <si>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</si>
  <si>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</si>
  <si>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</si>
  <si>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</si>
  <si>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</si>
  <si>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</si>
  <si>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</si>
  <si>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</si>
  <si>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</si>
  <si>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</si>
  <si>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</si>
  <si>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</si>
  <si>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</si>
  <si>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</si>
  <si>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</si>
  <si>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</si>
  <si>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</si>
  <si>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</si>
  <si>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</si>
  <si>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</si>
  <si>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</si>
  <si>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</si>
  <si>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</si>
  <si>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</si>
  <si>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</si>
  <si>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</si>
  <si>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</si>
  <si>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</si>
  <si>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</si>
  <si>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</si>
  <si>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</si>
  <si>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</si>
  <si>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</si>
  <si>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</si>
  <si>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</si>
  <si>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</si>
  <si>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</si>
  <si>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</si>
  <si>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</si>
  <si>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</si>
  <si>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</si>
  <si>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</si>
  <si>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</si>
  <si>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</si>
  <si>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</si>
  <si>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</si>
  <si>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</si>
  <si>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</si>
  <si>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</si>
  <si>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</si>
  <si>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</si>
  <si>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</si>
  <si>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</si>
  <si>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</si>
  <si>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</si>
  <si>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</si>
  <si>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</si>
  <si>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</si>
  <si>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</si>
  <si>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</si>
  <si>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</si>
  <si>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</si>
  <si>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</si>
  <si>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</si>
  <si>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</si>
  <si>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</si>
  <si>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</si>
  <si>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</si>
  <si>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</si>
  <si>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</si>
  <si>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</si>
  <si>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</si>
  <si>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</si>
  <si>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</si>
  <si>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</si>
  <si>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</si>
  <si>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</si>
  <si>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</si>
  <si>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</si>
  <si>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</si>
  <si>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</si>
  <si>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</si>
  <si>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</si>
  <si>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</si>
  <si>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</si>
  <si>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</si>
  <si>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</si>
  <si>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</si>
  <si>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</si>
  <si>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</si>
  <si>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</si>
  <si>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</si>
  <si>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</si>
  <si>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</si>
  <si>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</si>
  <si>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</si>
  <si>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</si>
  <si>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</si>
  <si>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</si>
  <si>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</si>
  <si>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</si>
  <si>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</si>
  <si>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</si>
  <si>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</si>
  <si>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</si>
  <si>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</si>
  <si>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</si>
  <si>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</si>
  <si>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</si>
  <si>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</si>
  <si>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</si>
  <si>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</si>
  <si>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</si>
  <si>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</si>
  <si>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</si>
  <si>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</si>
  <si>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</si>
  <si>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</si>
  <si>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</si>
  <si>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</si>
  <si>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</si>
  <si>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</si>
  <si>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</si>
  <si>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</si>
  <si>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</si>
  <si>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</si>
  <si>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</si>
  <si>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</si>
  <si>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</si>
  <si>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</si>
  <si>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</si>
  <si>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</si>
  <si>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</si>
  <si>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</si>
  <si>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</si>
  <si>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</si>
  <si>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</si>
  <si>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</si>
  <si>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</si>
  <si>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</si>
  <si>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</si>
  <si>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</si>
  <si>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</si>
  <si>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</si>
  <si>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</si>
  <si>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</si>
  <si>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</si>
  <si>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</si>
  <si>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</si>
  <si>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</si>
  <si>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</si>
  <si>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</si>
  <si>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</si>
  <si>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</si>
  <si>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</si>
  <si>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</si>
  <si>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</si>
  <si>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</si>
  <si>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</si>
  <si>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</si>
  <si>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</si>
  <si>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</si>
  <si>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</si>
  <si>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</si>
  <si>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</si>
  <si>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</si>
  <si>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</si>
  <si>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</si>
  <si>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</si>
  <si>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</si>
  <si>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</si>
  <si>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</si>
  <si>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</si>
  <si>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</si>
  <si>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</si>
  <si>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</si>
  <si>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</si>
  <si>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</si>
  <si>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</si>
  <si>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</si>
  <si>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</si>
  <si>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</si>
  <si>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</si>
  <si>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</si>
  <si>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</si>
  <si>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</si>
  <si>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</si>
  <si>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</si>
  <si>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</si>
  <si>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</si>
  <si>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</si>
  <si>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</si>
  <si>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</si>
  <si>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</si>
  <si>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</si>
  <si>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</si>
  <si>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</si>
  <si>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</si>
  <si>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</si>
  <si>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</si>
  <si>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</si>
  <si>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</si>
  <si>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</si>
  <si>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</si>
  <si>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</si>
  <si>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</si>
  <si>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</si>
  <si>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</si>
  <si>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</si>
  <si>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</si>
  <si>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</si>
  <si>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</si>
  <si>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</si>
  <si>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</si>
  <si>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</si>
  <si>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</si>
  <si>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</si>
  <si>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</si>
  <si>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</si>
  <si>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</si>
  <si>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</si>
  <si>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</si>
  <si>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</si>
  <si>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</si>
  <si>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</si>
  <si>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</si>
  <si>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</si>
  <si>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</si>
  <si>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</si>
  <si>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</si>
  <si>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</si>
  <si>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</si>
  <si>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</si>
  <si>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</si>
  <si>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</si>
  <si>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</si>
  <si>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</si>
  <si>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</si>
  <si>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</si>
  <si>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</si>
  <si>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</si>
  <si>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</si>
  <si>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</si>
  <si>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</si>
  <si>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</si>
  <si>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</si>
  <si>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</si>
  <si>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</si>
  <si>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</si>
  <si>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</si>
  <si>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</si>
  <si>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</si>
  <si>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</si>
  <si>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</si>
  <si>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</si>
  <si>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</si>
  <si>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</si>
  <si>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</si>
  <si>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</si>
  <si>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</si>
  <si>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</si>
  <si>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</si>
  <si>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</si>
  <si>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</si>
  <si>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</si>
  <si>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</si>
  <si>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</si>
  <si>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</si>
  <si>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</si>
  <si>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</si>
  <si>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</si>
  <si>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</si>
  <si>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</si>
  <si>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</si>
  <si>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</si>
  <si>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</si>
  <si>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</si>
  <si>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</si>
  <si>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</si>
  <si>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</si>
  <si>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</si>
  <si>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</si>
  <si>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</si>
  <si>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</si>
  <si>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</si>
  <si>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</si>
  <si>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</si>
  <si>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</si>
  <si>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</si>
  <si>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</si>
  <si>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</si>
  <si>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</si>
  <si>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</si>
  <si>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</si>
  <si>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</si>
  <si>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</si>
  <si>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</si>
  <si>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</si>
  <si>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</si>
  <si>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</si>
  <si>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</si>
  <si>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</si>
  <si>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</si>
  <si>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</si>
  <si>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</si>
  <si>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</si>
  <si>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</si>
  <si>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</si>
  <si>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</si>
  <si>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</si>
  <si>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</si>
  <si>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</si>
  <si>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</si>
  <si>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</si>
  <si>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</si>
  <si>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</si>
  <si>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</si>
  <si>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</si>
  <si>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</si>
  <si>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</si>
  <si>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</si>
  <si>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</si>
  <si>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</si>
  <si>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</si>
  <si>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</si>
  <si>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</si>
  <si>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</si>
  <si>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</si>
  <si>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</si>
  <si>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</si>
  <si>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</si>
  <si>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</si>
  <si>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</si>
  <si>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</si>
  <si>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</si>
  <si>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</si>
  <si>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</si>
  <si>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</si>
  <si>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</si>
  <si>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</si>
  <si>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</si>
  <si>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</si>
  <si>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</si>
  <si>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</si>
  <si>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</si>
  <si>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</si>
  <si>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</si>
  <si>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</si>
  <si>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</si>
  <si>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</si>
  <si>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</si>
  <si>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</si>
  <si>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</si>
  <si>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</si>
  <si>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</si>
  <si>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</si>
  <si>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</si>
  <si>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</si>
  <si>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</si>
  <si>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</si>
  <si>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</si>
  <si>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</si>
  <si>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</si>
  <si>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</si>
  <si>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</si>
  <si>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</si>
  <si>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</si>
  <si>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</si>
  <si>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</si>
  <si>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</si>
  <si>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</si>
  <si>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</si>
  <si>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</si>
  <si>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</si>
  <si>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</si>
  <si>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</si>
  <si>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</si>
  <si>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</si>
  <si>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</si>
  <si>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</si>
  <si>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</si>
  <si>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</si>
  <si>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</si>
  <si>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</si>
  <si>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</si>
  <si>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</si>
  <si>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</si>
  <si>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</si>
  <si>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</si>
  <si>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</si>
  <si>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</si>
  <si>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</si>
  <si>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</si>
  <si>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</si>
  <si>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</si>
  <si>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</si>
  <si>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</si>
  <si>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</si>
  <si>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</si>
  <si>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</si>
  <si>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</si>
  <si>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</si>
  <si>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</si>
  <si>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</si>
  <si>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</si>
  <si>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</si>
  <si>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</si>
  <si>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</si>
  <si>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</si>
  <si>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</si>
  <si>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</si>
  <si>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</si>
  <si>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</si>
  <si>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</si>
  <si>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</si>
  <si>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</si>
  <si>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</si>
  <si>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</si>
  <si>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</si>
  <si>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</si>
  <si>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</si>
  <si>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</si>
  <si>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</si>
  <si>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</si>
  <si>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</si>
  <si>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</si>
  <si>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</si>
  <si>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</si>
  <si>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</si>
  <si>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</si>
  <si>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</si>
  <si>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</si>
  <si>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</si>
  <si>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</si>
  <si>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</si>
  <si>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</si>
  <si>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</si>
  <si>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</si>
  <si>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</si>
  <si>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</si>
  <si>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</si>
  <si>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</si>
  <si>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</si>
  <si>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</si>
  <si>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</si>
  <si>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</si>
  <si>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</si>
  <si>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</si>
  <si>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</si>
  <si>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</si>
  <si>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</si>
  <si>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</si>
  <si>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</si>
  <si>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</si>
  <si>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</si>
  <si>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</si>
  <si>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</si>
  <si>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</si>
  <si>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</si>
  <si>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</si>
  <si>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</si>
  <si>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</si>
  <si>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</si>
  <si>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</si>
  <si>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</si>
  <si>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</si>
  <si>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</si>
  <si>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</si>
  <si>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</si>
  <si>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</si>
  <si>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</si>
  <si>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</si>
  <si>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</si>
  <si>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</si>
  <si>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</si>
  <si>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</si>
  <si>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</si>
  <si>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</si>
  <si>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</si>
  <si>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</si>
  <si>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</si>
  <si>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</si>
  <si>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</si>
  <si>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</si>
  <si>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</si>
  <si>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</si>
  <si>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</si>
  <si>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</si>
  <si>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</si>
  <si>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</si>
  <si>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</si>
  <si>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</si>
  <si>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</si>
  <si>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</si>
  <si>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</si>
  <si>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</si>
  <si>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</si>
  <si>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</si>
  <si>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</si>
  <si>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</si>
  <si>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</si>
  <si>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</si>
  <si>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</si>
  <si>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</si>
  <si>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</si>
  <si>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</si>
  <si>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</si>
  <si>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</si>
  <si>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</si>
  <si>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</si>
  <si>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</si>
  <si>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</si>
  <si>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</si>
  <si>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</si>
  <si>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</si>
  <si>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</si>
  <si>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</si>
  <si>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</si>
  <si>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</si>
  <si>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</si>
  <si>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</si>
  <si>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</si>
  <si>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</si>
  <si>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</si>
  <si>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</si>
  <si>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</si>
  <si>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</si>
  <si>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</si>
  <si>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</si>
  <si>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</si>
  <si>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</si>
  <si>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</si>
  <si>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</si>
  <si>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</si>
  <si>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</si>
  <si>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</si>
  <si>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</si>
  <si>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</si>
  <si>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</si>
  <si>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</si>
  <si>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</si>
  <si>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</si>
  <si>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</si>
  <si>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</si>
  <si>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</si>
  <si>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</si>
  <si>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</si>
  <si>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</si>
  <si>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</si>
  <si>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</si>
  <si>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</si>
  <si>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</si>
  <si>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</si>
  <si>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</si>
  <si>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</si>
  <si>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</si>
  <si>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</si>
  <si>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</si>
  <si>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</si>
  <si>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</si>
  <si>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</si>
  <si>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</si>
  <si>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</si>
  <si>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</si>
  <si>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</si>
  <si>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</si>
  <si>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</si>
  <si>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</si>
  <si>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</si>
  <si>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</si>
  <si>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</si>
  <si>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</si>
  <si>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</si>
  <si>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</si>
  <si>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</si>
  <si>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</si>
  <si>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</si>
  <si>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</si>
  <si>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</si>
  <si>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</si>
  <si>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</si>
  <si>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</si>
  <si>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</si>
  <si>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</si>
  <si>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</si>
  <si>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</si>
  <si>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</si>
  <si>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</si>
  <si>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</si>
  <si>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</si>
  <si>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</si>
  <si>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</si>
  <si>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</si>
  <si>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</si>
  <si>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</si>
  <si>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</si>
  <si>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</si>
  <si>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</si>
  <si>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</si>
  <si>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</si>
  <si>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</si>
  <si>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</si>
  <si>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</si>
  <si>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</si>
  <si>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</si>
  <si>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</si>
  <si>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</si>
  <si>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</si>
  <si>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</si>
  <si>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</si>
  <si>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</si>
  <si>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</si>
  <si>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</si>
  <si>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</si>
  <si>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</si>
  <si>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</si>
  <si>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</si>
  <si>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</si>
  <si>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</si>
  <si>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</si>
  <si>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</si>
  <si>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</si>
  <si>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</si>
  <si>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</si>
  <si>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</si>
  <si>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</si>
  <si>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</si>
  <si>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</si>
  <si>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</si>
  <si>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</si>
  <si>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</si>
  <si>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</si>
  <si>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</si>
  <si>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</si>
  <si>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</si>
  <si>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</si>
  <si>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</si>
  <si>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</si>
  <si>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</si>
  <si>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</si>
  <si>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</si>
  <si>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</si>
  <si>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</si>
  <si>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</si>
  <si>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</si>
  <si>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</si>
  <si>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</si>
  <si>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</si>
  <si>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</si>
  <si>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</si>
  <si>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</si>
  <si>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</si>
  <si>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</si>
  <si>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</si>
  <si>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</si>
  <si>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</si>
  <si>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</si>
  <si>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</si>
  <si>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</si>
  <si>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</si>
  <si>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</si>
  <si>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</si>
  <si>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</si>
  <si>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</si>
  <si>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</si>
  <si>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</si>
  <si>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</si>
  <si>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</si>
  <si>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</si>
  <si>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</si>
  <si>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</si>
  <si>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</si>
  <si>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</si>
  <si>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</si>
  <si>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</si>
  <si>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</si>
  <si>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</si>
  <si>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</si>
  <si>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</si>
  <si>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</si>
  <si>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</si>
  <si>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</si>
  <si>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</si>
  <si>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</si>
  <si>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</si>
  <si>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</si>
  <si>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</si>
  <si>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</si>
  <si>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</si>
  <si>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</si>
  <si>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</si>
  <si>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</si>
  <si>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</si>
  <si>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</si>
  <si>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</si>
  <si>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</si>
  <si>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</si>
  <si>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</si>
  <si>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</si>
  <si>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</si>
  <si>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</si>
  <si>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</si>
  <si>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</si>
  <si>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</si>
  <si>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</si>
  <si>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</si>
  <si>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</si>
  <si>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</si>
  <si>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</si>
  <si>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</si>
  <si>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</si>
  <si>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</si>
  <si>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</si>
  <si>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</si>
  <si>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</si>
  <si>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</si>
  <si>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</si>
  <si>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</si>
  <si>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</si>
  <si>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</si>
  <si>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</si>
  <si>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</si>
  <si>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</si>
  <si>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</si>
  <si>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</si>
  <si>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</si>
  <si>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</si>
  <si>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</si>
  <si>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</si>
  <si>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</si>
  <si>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</si>
  <si>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</si>
  <si>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</si>
  <si>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</si>
  <si>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</si>
  <si>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</si>
  <si>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</si>
  <si>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</si>
  <si>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</si>
  <si>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</si>
  <si>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</si>
  <si>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</si>
  <si>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</si>
  <si>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</si>
  <si>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</si>
  <si>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</si>
  <si>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</si>
  <si>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</si>
  <si>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</si>
  <si>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</si>
  <si>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</si>
  <si>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</si>
  <si>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</si>
  <si>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</si>
  <si>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</si>
  <si>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</si>
  <si>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</si>
  <si>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</si>
  <si>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</si>
  <si>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</si>
  <si>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</si>
  <si>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</si>
  <si>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</si>
  <si>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</si>
  <si>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</si>
  <si>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</si>
  <si>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</si>
  <si>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</si>
  <si>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</si>
  <si>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</si>
  <si>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</si>
  <si>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</si>
  <si>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</si>
  <si>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</si>
  <si>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</si>
  <si>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</si>
  <si>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</si>
  <si>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</si>
  <si>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</si>
  <si>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</si>
  <si>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</si>
  <si>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</si>
  <si>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</si>
  <si>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</si>
  <si>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</si>
  <si>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</si>
  <si>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</si>
  <si>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</si>
  <si>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</si>
  <si>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</si>
  <si>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</si>
  <si>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</si>
  <si>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</si>
  <si>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</si>
  <si>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</si>
  <si>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</si>
  <si>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</si>
  <si>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</si>
  <si>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</si>
  <si>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</si>
  <si>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</si>
  <si>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</si>
  <si>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</si>
  <si>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</si>
  <si>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</si>
  <si>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</si>
  <si>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</si>
  <si>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</si>
  <si>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</si>
  <si>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</si>
  <si>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</si>
  <si>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</si>
  <si>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</si>
  <si>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</si>
  <si>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</si>
  <si>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</si>
  <si>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</si>
  <si>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</si>
  <si>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</si>
  <si>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</si>
  <si>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</si>
  <si>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</si>
  <si>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</si>
  <si>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</si>
  <si>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</si>
  <si>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</si>
  <si>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</si>
  <si>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</si>
  <si>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</si>
  <si>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</si>
  <si>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</si>
  <si>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</si>
  <si>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</si>
  <si>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</si>
  <si>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</si>
  <si>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</si>
  <si>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</si>
  <si>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</si>
  <si>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</si>
  <si>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</si>
  <si>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</si>
  <si>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</si>
  <si>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</si>
  <si>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</si>
  <si>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</si>
  <si>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</si>
  <si>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</si>
  <si>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</si>
  <si>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</si>
  <si>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</si>
  <si>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</si>
  <si>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</si>
  <si>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</si>
  <si>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</si>
  <si>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</si>
  <si>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</si>
  <si>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</si>
  <si>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</si>
  <si>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</si>
  <si>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</si>
  <si>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</si>
  <si>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</si>
  <si>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</si>
  <si>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</si>
  <si>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</si>
  <si>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</si>
  <si>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</si>
  <si>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</si>
  <si>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</si>
  <si>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</si>
  <si>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</si>
  <si>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</si>
  <si>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</si>
  <si>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</si>
  <si>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</si>
  <si>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</si>
  <si>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</si>
  <si>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</si>
  <si>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</si>
  <si>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</si>
  <si>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</si>
  <si>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</si>
  <si>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</si>
  <si>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</si>
  <si>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</si>
  <si>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</si>
  <si>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</si>
  <si>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</si>
  <si>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</si>
  <si>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</si>
  <si>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</si>
  <si>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</si>
  <si>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</si>
  <si>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</si>
  <si>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</si>
  <si>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</si>
  <si>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</si>
  <si>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</si>
  <si>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</si>
  <si>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</si>
  <si>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</si>
  <si>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</si>
  <si>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</si>
  <si>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</si>
  <si>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</si>
  <si>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</si>
  <si>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</si>
  <si>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</si>
  <si>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</si>
  <si>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</si>
  <si>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</si>
  <si>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</si>
  <si>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</si>
  <si>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</si>
  <si>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</si>
  <si>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</si>
  <si>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</si>
  <si>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</si>
  <si>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</si>
  <si>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</si>
  <si>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</si>
  <si>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</si>
  <si>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</si>
  <si>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</si>
  <si>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</si>
  <si>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</si>
  <si>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</si>
  <si>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</si>
  <si>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</si>
  <si>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</si>
  <si>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</si>
  <si>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</si>
  <si>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</si>
  <si>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</si>
  <si>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</si>
  <si>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</si>
  <si>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</si>
  <si>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</si>
  <si>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</si>
  <si>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</si>
  <si>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</si>
  <si>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</si>
  <si>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</si>
  <si>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</si>
  <si>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</si>
  <si>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</si>
  <si>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</si>
  <si>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</si>
  <si>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</si>
  <si>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</si>
  <si>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</si>
  <si>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</si>
  <si>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</si>
  <si>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</si>
  <si>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</si>
  <si>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</si>
  <si>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</si>
  <si>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</si>
  <si>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</si>
  <si>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</si>
  <si>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</si>
  <si>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</si>
  <si>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</si>
  <si>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</si>
  <si>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</si>
  <si>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</si>
  <si>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</si>
  <si>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</si>
  <si>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</si>
  <si>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</si>
  <si>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</si>
  <si>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</si>
  <si>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</si>
  <si>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</si>
  <si>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</si>
  <si>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</si>
  <si>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</si>
  <si>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</si>
  <si>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</si>
  <si>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</si>
  <si>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</si>
  <si>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</si>
  <si>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</si>
  <si>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</si>
  <si>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</si>
  <si>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</si>
  <si>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</si>
  <si>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</si>
  <si>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</si>
  <si>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</si>
  <si>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</si>
  <si>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</si>
  <si>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</si>
  <si>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</si>
  <si>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</si>
  <si>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</si>
  <si>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</si>
  <si>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</si>
  <si>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</si>
  <si>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</si>
  <si>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</si>
  <si>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</si>
  <si>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</si>
  <si>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</si>
  <si>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</si>
  <si>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</si>
  <si>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</si>
  <si>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</si>
  <si>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</si>
  <si>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</si>
  <si>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</si>
  <si>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</si>
  <si>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</si>
  <si>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</si>
  <si>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</si>
  <si>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</si>
  <si>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</si>
  <si>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</si>
  <si>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</si>
  <si>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</si>
  <si>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</si>
  <si>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</si>
  <si>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</si>
  <si>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</si>
  <si>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</si>
  <si>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</si>
  <si>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</si>
  <si>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</si>
  <si>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</si>
  <si>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</si>
  <si>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</si>
  <si>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</si>
  <si>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</si>
  <si>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</si>
  <si>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</si>
  <si>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</si>
  <si>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</si>
  <si>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</si>
  <si>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</si>
  <si>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</si>
  <si>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</si>
  <si>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</si>
  <si>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</si>
  <si>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</si>
  <si>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</si>
  <si>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</si>
  <si>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</si>
  <si>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</si>
  <si>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</si>
  <si>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</si>
  <si>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</si>
  <si>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</si>
  <si>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</si>
  <si>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</si>
  <si>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</si>
  <si>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</si>
  <si>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</si>
  <si>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</si>
  <si>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</si>
  <si>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</si>
  <si>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</si>
  <si>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</si>
  <si>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</si>
  <si>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</si>
  <si>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</si>
  <si>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</si>
  <si>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</si>
  <si>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</si>
  <si>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</si>
  <si>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</si>
  <si>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</si>
  <si>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</si>
  <si>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</si>
  <si>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</si>
  <si>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</si>
  <si>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</si>
  <si>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</si>
  <si>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</si>
  <si>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</si>
  <si>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</si>
  <si>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</si>
  <si>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</si>
  <si>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</si>
  <si>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</si>
  <si>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</si>
  <si>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</si>
  <si>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</si>
  <si>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</si>
  <si>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</si>
  <si>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</si>
  <si>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</si>
  <si>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</si>
  <si>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</si>
  <si>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</si>
  <si>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</si>
  <si>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</si>
  <si>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</si>
  <si>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</si>
  <si>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</si>
  <si>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</si>
  <si>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</si>
  <si>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</si>
  <si>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</si>
  <si>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</si>
  <si>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</si>
  <si>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</si>
  <si>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</si>
  <si>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</si>
  <si>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</si>
  <si>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</si>
  <si>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</si>
  <si>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</si>
  <si>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</si>
  <si>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</si>
  <si>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</si>
  <si>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</si>
  <si>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</si>
  <si>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</si>
  <si>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</si>
  <si>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</si>
  <si>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</si>
  <si>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</si>
  <si>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</si>
  <si>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</si>
  <si>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</si>
  <si>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</si>
  <si>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</si>
  <si>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</si>
  <si>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</si>
  <si>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</si>
  <si>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</si>
  <si>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</si>
  <si>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</si>
  <si>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</si>
  <si>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</si>
  <si>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</si>
  <si>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</si>
  <si>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</si>
  <si>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</si>
  <si>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</si>
  <si>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</si>
  <si>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</si>
  <si>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</si>
  <si>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</si>
  <si>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</si>
  <si>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</si>
  <si>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</si>
  <si>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</si>
  <si>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</si>
  <si>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</si>
  <si>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</si>
  <si>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</si>
  <si>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</si>
  <si>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</si>
  <si>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</si>
  <si>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</si>
  <si>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</si>
  <si>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</si>
  <si>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</si>
  <si>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</si>
  <si>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</si>
  <si>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</si>
  <si>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</si>
  <si>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</si>
  <si>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</si>
  <si>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</si>
  <si>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</si>
  <si>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</si>
  <si>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</si>
  <si>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</si>
  <si>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</si>
  <si>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</si>
  <si>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</si>
  <si>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</si>
  <si>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</si>
  <si>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</si>
  <si>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</si>
  <si>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</si>
  <si>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</si>
  <si>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</si>
  <si>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</si>
  <si>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</si>
  <si>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</si>
  <si>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</si>
  <si>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</si>
  <si>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</si>
  <si>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</si>
  <si>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</si>
  <si>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</si>
  <si>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</si>
  <si>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</si>
  <si>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</si>
  <si>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</si>
  <si>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</si>
  <si>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</si>
  <si>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</si>
  <si>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</si>
  <si>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</si>
  <si>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</si>
  <si>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</si>
  <si>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</si>
  <si>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</si>
  <si>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</si>
  <si>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</si>
  <si>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</si>
  <si>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</si>
  <si>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</si>
  <si>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</si>
  <si>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</si>
  <si>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</si>
  <si>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</si>
  <si>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</si>
  <si>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</si>
  <si>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</si>
  <si>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</si>
  <si>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</si>
  <si>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</si>
  <si>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</si>
  <si>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</si>
  <si>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</si>
  <si>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</si>
  <si>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</si>
  <si>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</si>
  <si>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</si>
  <si>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</si>
  <si>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</si>
  <si>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</si>
  <si>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</si>
  <si>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</si>
  <si>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</si>
  <si>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</si>
  <si>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</si>
  <si>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</si>
  <si>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</si>
  <si>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</si>
  <si>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</si>
  <si>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</si>
  <si>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</si>
  <si>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</si>
  <si>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</si>
  <si>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</si>
  <si>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</si>
  <si>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</si>
  <si>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</si>
  <si>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</si>
  <si>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</si>
  <si>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</si>
  <si>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</si>
  <si>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</si>
  <si>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</si>
  <si>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</si>
  <si>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</si>
  <si>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</si>
  <si>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</si>
  <si>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</si>
  <si>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</si>
  <si>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</si>
  <si>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</si>
  <si>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</si>
  <si>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</si>
  <si>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</si>
  <si>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</si>
  <si>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</si>
  <si>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</si>
  <si>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</si>
  <si>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</si>
  <si>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</si>
  <si>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</si>
  <si>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</si>
  <si>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</si>
  <si>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</si>
  <si>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</si>
  <si>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</si>
  <si>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</si>
  <si>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</si>
  <si>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</si>
  <si>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</si>
  <si>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</si>
  <si>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</si>
  <si>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</si>
  <si>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</si>
  <si>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</si>
  <si>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</si>
  <si>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</si>
  <si>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</si>
  <si>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</si>
  <si>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</si>
  <si>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</si>
  <si>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</si>
  <si>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</si>
  <si>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</si>
  <si>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</si>
  <si>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</si>
  <si>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</si>
  <si>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</si>
  <si>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</si>
  <si>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</si>
  <si>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</si>
  <si>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</si>
  <si>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</si>
  <si>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</si>
  <si>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</si>
  <si>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</si>
  <si>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</si>
  <si>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</si>
  <si>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</si>
  <si>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</si>
  <si>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</si>
  <si>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</si>
  <si>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</si>
  <si>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</si>
  <si>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</si>
  <si>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</si>
  <si>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</si>
  <si>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</si>
  <si>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</si>
  <si>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</si>
  <si>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</si>
  <si>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</si>
  <si>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</si>
  <si>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</si>
  <si>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</si>
  <si>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</si>
  <si>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</si>
  <si>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</si>
  <si>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</si>
  <si>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</si>
  <si>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</si>
  <si>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</si>
  <si>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</si>
  <si>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</si>
  <si>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</si>
  <si>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</si>
  <si>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</si>
  <si>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</si>
  <si>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</si>
  <si>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</si>
  <si>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</si>
  <si>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</si>
  <si>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</si>
  <si>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</si>
  <si>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</si>
  <si>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</si>
  <si>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</si>
  <si>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</si>
  <si>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</si>
  <si>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</si>
  <si>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</si>
  <si>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</si>
  <si>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</si>
  <si>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</si>
  <si>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</si>
  <si>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</si>
  <si>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</si>
  <si>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</si>
  <si>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</si>
  <si>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</si>
  <si>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</si>
  <si>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</si>
  <si>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</si>
  <si>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</si>
  <si>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</si>
  <si>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</si>
  <si>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</si>
  <si>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</si>
  <si>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</si>
  <si>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</si>
  <si>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</si>
  <si>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</si>
  <si>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</si>
  <si>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</si>
  <si>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</si>
  <si>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</si>
  <si>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</si>
  <si>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</si>
  <si>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</si>
  <si>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</si>
  <si>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</si>
  <si>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</si>
  <si>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</si>
  <si>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</si>
  <si>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</si>
  <si>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</si>
  <si>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</si>
  <si>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</si>
  <si>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</si>
  <si>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</si>
  <si>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</si>
  <si>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</si>
  <si>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</si>
  <si>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</si>
  <si>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</si>
  <si>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</si>
  <si>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</si>
  <si>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</si>
  <si>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</si>
  <si>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</si>
  <si>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</si>
  <si>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</si>
  <si>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</si>
  <si>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</si>
  <si>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</si>
  <si>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</si>
  <si>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</si>
  <si>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</si>
  <si>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</si>
  <si>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</si>
  <si>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</si>
  <si>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</si>
  <si>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</si>
  <si>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</si>
  <si>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</si>
  <si>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</si>
  <si>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</si>
  <si>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</si>
  <si>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</si>
  <si>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</si>
  <si>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</si>
  <si>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</si>
  <si>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</si>
  <si>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</si>
  <si>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</si>
  <si>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</si>
  <si>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</si>
  <si>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</si>
  <si>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</si>
  <si>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</si>
  <si>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</si>
  <si>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</si>
  <si>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</si>
  <si>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</si>
  <si>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</si>
  <si>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</si>
  <si>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</si>
  <si>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</si>
  <si>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</si>
  <si>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</si>
  <si>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</si>
  <si>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</si>
  <si>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</si>
  <si>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</si>
  <si>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</si>
  <si>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</si>
  <si>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</si>
  <si>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</si>
  <si>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</si>
  <si>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</si>
  <si>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</si>
  <si>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</si>
  <si>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</si>
  <si>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</si>
  <si>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</si>
  <si>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</si>
  <si>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</si>
  <si>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</si>
  <si>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</si>
  <si>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</si>
  <si>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</si>
  <si>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</si>
  <si>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</si>
  <si>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</si>
  <si>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</si>
  <si>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</si>
  <si>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</si>
  <si>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</si>
  <si>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</si>
  <si>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</si>
  <si>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</si>
  <si>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</si>
  <si>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</si>
  <si>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</si>
  <si>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</si>
  <si>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</si>
  <si>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</si>
  <si>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</si>
  <si>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</si>
  <si>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</si>
  <si>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</si>
  <si>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</si>
  <si>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</si>
  <si>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</si>
  <si>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</si>
  <si>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</si>
  <si>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</si>
  <si>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</si>
  <si>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</si>
  <si>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</si>
  <si>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</si>
  <si>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</si>
  <si>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</si>
  <si>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</si>
  <si>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</si>
  <si>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</si>
  <si>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</si>
  <si>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</si>
  <si>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</si>
  <si>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</si>
  <si>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</si>
  <si>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</si>
  <si>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</si>
  <si>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</si>
  <si>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</si>
  <si>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</si>
  <si>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</si>
  <si>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</si>
  <si>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</si>
  <si>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</si>
  <si>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</si>
  <si>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</si>
  <si>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</si>
  <si>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</si>
  <si>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</si>
  <si>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</si>
  <si>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</si>
  <si>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</si>
  <si>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</si>
  <si>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</si>
  <si>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</si>
  <si>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</si>
  <si>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</si>
  <si>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</si>
  <si>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</si>
  <si>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</si>
  <si>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</si>
  <si>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</si>
  <si>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</si>
  <si>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</si>
  <si>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</si>
  <si>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</si>
  <si>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</si>
  <si>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</si>
  <si>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</si>
  <si>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</si>
  <si>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</si>
  <si>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</si>
  <si>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</si>
  <si>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</si>
  <si>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</si>
  <si>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</si>
  <si>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</si>
  <si>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</si>
  <si>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</si>
  <si>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</si>
  <si>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</si>
  <si>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</si>
  <si>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</si>
  <si>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</si>
  <si>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</si>
  <si>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</si>
  <si>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</si>
  <si>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</si>
  <si>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</si>
  <si>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</si>
  <si>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</si>
  <si>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</si>
  <si>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</si>
  <si>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</si>
  <si>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</si>
  <si>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</si>
  <si>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</si>
  <si>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</si>
  <si>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</si>
  <si>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</si>
  <si>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</si>
  <si>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</si>
  <si>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</si>
  <si>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</si>
  <si>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</si>
  <si>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</si>
  <si>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</si>
  <si>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</si>
  <si>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</si>
  <si>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</si>
  <si>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</si>
  <si>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</si>
  <si>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</si>
  <si>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</si>
  <si>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</si>
  <si>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</si>
  <si>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</si>
  <si>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</si>
  <si>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</si>
  <si>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</si>
  <si>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</si>
  <si>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</si>
  <si>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</si>
  <si>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</si>
  <si>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</si>
  <si>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</si>
  <si>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</si>
  <si>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</si>
  <si>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</si>
  <si>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</si>
  <si>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</si>
  <si>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</si>
  <si>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</si>
  <si>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</si>
  <si>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</si>
  <si>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</si>
  <si>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</si>
  <si>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</si>
  <si>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</si>
  <si>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</si>
  <si>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</si>
  <si>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</si>
  <si>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</si>
  <si>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</si>
  <si>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</si>
  <si>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</si>
  <si>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</si>
  <si>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</si>
  <si>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</si>
  <si>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</si>
  <si>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</si>
  <si>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</si>
  <si>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</si>
  <si>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</si>
  <si>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</si>
  <si>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</si>
  <si>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</si>
  <si>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</si>
  <si>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</si>
  <si>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</si>
  <si>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</si>
  <si>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</si>
  <si>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</si>
  <si>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</si>
  <si>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</si>
  <si>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</si>
  <si>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</si>
  <si>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</si>
  <si>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</si>
  <si>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</si>
  <si>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</si>
  <si>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</si>
  <si>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</si>
  <si>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</si>
  <si>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</si>
  <si>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</si>
  <si>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</si>
  <si>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</si>
  <si>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</si>
  <si>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</si>
  <si>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</si>
  <si>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</si>
  <si>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</si>
  <si>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</si>
  <si>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</si>
  <si>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</si>
  <si>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</si>
  <si>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</si>
  <si>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</si>
  <si>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</si>
  <si>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</si>
  <si>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</si>
  <si>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</si>
  <si>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</si>
  <si>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</si>
  <si>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</si>
  <si>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</si>
  <si>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</si>
  <si>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</si>
  <si>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</si>
  <si>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</si>
  <si>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</si>
  <si>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</si>
  <si>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</si>
  <si>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</si>
  <si>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</si>
  <si>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</si>
  <si>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</si>
  <si>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</si>
  <si>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</si>
  <si>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</si>
  <si>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</si>
  <si>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</si>
  <si>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</si>
  <si>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</si>
  <si>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</si>
  <si>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</si>
  <si>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</si>
  <si>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</si>
  <si>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</si>
  <si>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</si>
  <si>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</si>
  <si>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</si>
  <si>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</si>
  <si>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</si>
  <si>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</si>
  <si>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</si>
  <si>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</si>
  <si>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</si>
  <si>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</si>
  <si>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</si>
  <si>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</si>
  <si>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</si>
  <si>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</si>
  <si>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</si>
  <si>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</si>
  <si>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</si>
  <si>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</si>
  <si>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</si>
  <si>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</si>
  <si>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</si>
  <si>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</si>
  <si>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</si>
  <si>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</si>
  <si>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</si>
  <si>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</si>
  <si>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</si>
  <si>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</si>
  <si>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</si>
  <si>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</si>
  <si>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</si>
  <si>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</si>
  <si>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</si>
  <si>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</si>
  <si>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</si>
  <si>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</si>
  <si>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</si>
  <si>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</si>
  <si>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</si>
  <si>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</si>
  <si>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</si>
  <si>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</si>
  <si>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</si>
  <si>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</si>
  <si>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</si>
  <si>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</si>
  <si>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</si>
  <si>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</si>
  <si>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</si>
  <si>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</si>
  <si>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</si>
  <si>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</si>
  <si>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</si>
  <si>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</si>
  <si>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</si>
  <si>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</si>
  <si>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</si>
  <si>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</si>
  <si>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</si>
  <si>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</si>
  <si>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</si>
  <si>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</si>
  <si>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</si>
  <si>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</si>
  <si>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</si>
  <si>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</si>
  <si>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</si>
  <si>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</si>
  <si>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</si>
  <si>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</si>
  <si>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</si>
  <si>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</si>
  <si>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</si>
  <si>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</si>
  <si>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</si>
  <si>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</si>
  <si>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</si>
  <si>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</si>
  <si>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</si>
  <si>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</si>
  <si>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</si>
  <si>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</si>
  <si>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</si>
  <si>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</si>
  <si>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</si>
  <si>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</si>
  <si>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</si>
  <si>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</si>
  <si>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</si>
  <si>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</si>
  <si>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</si>
  <si>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</si>
  <si>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</si>
  <si>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</si>
  <si>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</si>
  <si>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</si>
  <si>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</si>
  <si>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</si>
  <si>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</si>
  <si>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</si>
  <si>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</si>
  <si>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</si>
  <si>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</si>
  <si>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</si>
  <si>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</si>
  <si>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</si>
  <si>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</si>
  <si>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</si>
  <si>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</si>
  <si>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</si>
  <si>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</si>
  <si>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</si>
  <si>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</si>
  <si>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</si>
  <si>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</si>
  <si>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</si>
  <si>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</si>
  <si>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</si>
  <si>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</si>
  <si>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</si>
  <si>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</si>
  <si>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</si>
  <si>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</si>
  <si>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</si>
  <si>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</si>
  <si>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</si>
  <si>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</si>
  <si>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</si>
  <si>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</si>
  <si>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</si>
  <si>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</si>
  <si>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</si>
  <si>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</si>
  <si>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</si>
  <si>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</si>
  <si>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</si>
  <si>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</si>
  <si>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</si>
  <si>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</si>
  <si>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</si>
  <si>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</si>
  <si>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</si>
  <si>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</si>
  <si>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</si>
  <si>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</si>
  <si>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</si>
  <si>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</si>
  <si>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</si>
  <si>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</si>
  <si>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</si>
  <si>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</si>
  <si>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</si>
  <si>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</si>
  <si>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</si>
  <si>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</si>
  <si>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</si>
  <si>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</si>
  <si>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</si>
  <si>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</si>
  <si>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</si>
  <si>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</si>
  <si>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</si>
  <si>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</si>
  <si>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</si>
  <si>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</si>
  <si>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</si>
  <si>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</si>
  <si>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</si>
  <si>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</si>
  <si>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</si>
  <si>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</si>
  <si>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</si>
  <si>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</si>
  <si>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</si>
  <si>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</si>
  <si>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</si>
  <si>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</si>
  <si>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</si>
  <si>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</si>
  <si>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</si>
  <si>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</si>
  <si>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</si>
  <si>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</si>
  <si>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</si>
  <si>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</si>
  <si>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</si>
  <si>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</si>
  <si>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</si>
  <si>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</si>
  <si>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</si>
  <si>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</si>
  <si>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</si>
  <si>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</si>
  <si>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</si>
  <si>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</si>
  <si>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</si>
  <si>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</si>
  <si>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</si>
  <si>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</si>
  <si>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</si>
  <si>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</si>
  <si>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</si>
  <si>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</si>
  <si>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</si>
  <si>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</si>
  <si>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</si>
  <si>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</si>
  <si>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</si>
  <si>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</si>
  <si>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</si>
  <si>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</si>
  <si>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</si>
  <si>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</si>
  <si>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</si>
  <si>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</si>
  <si>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</si>
  <si>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</si>
  <si>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</si>
  <si>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</si>
  <si>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</si>
  <si>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</si>
  <si>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</si>
  <si>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</si>
  <si>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</si>
  <si>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</si>
  <si>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</si>
  <si>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</si>
  <si>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</si>
  <si>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</si>
  <si>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</si>
  <si>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</si>
  <si>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</si>
  <si>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</si>
  <si>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</si>
  <si>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</si>
  <si>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</si>
  <si>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</si>
  <si>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</si>
  <si>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</si>
  <si>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</si>
  <si>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</si>
  <si>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</si>
  <si>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</si>
  <si>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</si>
  <si>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</si>
  <si>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</si>
  <si>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</si>
  <si>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</si>
  <si>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</si>
  <si>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</si>
  <si>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</si>
  <si>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</si>
  <si>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</si>
  <si>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</si>
  <si>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</si>
  <si>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</si>
  <si>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</si>
  <si>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</si>
  <si>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</si>
  <si>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</si>
  <si>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</si>
  <si>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</si>
  <si>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</si>
  <si>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</si>
  <si>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</si>
  <si>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</si>
  <si>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</si>
  <si>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</si>
  <si>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</si>
  <si>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</si>
  <si>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</si>
  <si>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</si>
  <si>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</si>
  <si>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</si>
  <si>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</si>
  <si>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</si>
  <si>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</si>
  <si>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</si>
  <si>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</si>
  <si>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</si>
  <si>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</si>
  <si>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</si>
  <si>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</si>
  <si>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</si>
  <si>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</si>
  <si>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</si>
  <si>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</si>
  <si>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</si>
  <si>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</si>
  <si>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</si>
  <si>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</si>
  <si>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</si>
  <si>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</si>
  <si>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</si>
  <si>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</si>
  <si>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</si>
  <si>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</si>
  <si>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</si>
  <si>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</si>
  <si>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</si>
  <si>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</si>
  <si>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</si>
  <si>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</si>
  <si>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</si>
  <si>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</si>
  <si>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</si>
  <si>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</si>
  <si>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</si>
  <si>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</si>
  <si>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</si>
  <si>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</si>
  <si>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</si>
  <si>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</si>
  <si>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</si>
  <si>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</si>
  <si>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</si>
  <si>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</si>
  <si>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</si>
  <si>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</si>
  <si>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</si>
  <si>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</si>
  <si>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</si>
  <si>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</si>
  <si>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</si>
  <si>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</si>
  <si>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</si>
  <si>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</si>
  <si>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</si>
  <si>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</si>
  <si>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</si>
  <si>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</si>
  <si>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</si>
  <si>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</si>
  <si>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</si>
  <si>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</si>
  <si>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</si>
  <si>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</si>
  <si>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</si>
  <si>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</si>
  <si>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</si>
  <si>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</si>
  <si>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</si>
  <si>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</si>
  <si>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</si>
  <si>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</si>
  <si>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</si>
  <si>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</si>
  <si>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</si>
  <si>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</si>
  <si>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</si>
  <si>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</si>
  <si>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</si>
  <si>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</si>
  <si>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</si>
  <si>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</si>
  <si>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</si>
  <si>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</si>
  <si>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</si>
  <si>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</si>
  <si>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</si>
  <si>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</si>
  <si>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</si>
  <si>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</si>
  <si>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</si>
  <si>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</si>
  <si>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</si>
  <si>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</si>
  <si>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</si>
  <si>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</si>
  <si>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</si>
  <si>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</si>
  <si>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</si>
  <si>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</si>
  <si>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</si>
  <si>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</si>
  <si>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</si>
  <si>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</si>
  <si>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</si>
  <si>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</si>
  <si>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</si>
  <si>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</si>
  <si>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</si>
  <si>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</si>
  <si>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</si>
  <si>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</si>
  <si>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</si>
  <si>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</si>
  <si>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</si>
  <si>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</si>
  <si>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</si>
  <si>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</si>
  <si>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</si>
  <si>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</si>
  <si>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</si>
  <si>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</si>
  <si>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</si>
  <si>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</si>
  <si>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</si>
  <si>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</si>
  <si>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</si>
  <si>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</si>
  <si>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</si>
  <si>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</si>
  <si>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</si>
  <si>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</si>
  <si>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</si>
  <si>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</si>
  <si>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</si>
  <si>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</si>
  <si>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</si>
  <si>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</si>
  <si>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</si>
  <si>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</si>
  <si>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</si>
  <si>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</si>
  <si>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</si>
  <si>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</si>
  <si>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</si>
  <si>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</si>
  <si>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</si>
  <si>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</si>
  <si>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</si>
  <si>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</si>
  <si>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</si>
  <si>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</si>
  <si>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</si>
  <si>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</si>
  <si>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</si>
  <si>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</si>
  <si>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</si>
  <si>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</si>
  <si>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</si>
  <si>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</si>
  <si>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</si>
  <si>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</si>
  <si>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</si>
  <si>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</si>
  <si>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</si>
  <si>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</si>
  <si>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</si>
  <si>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</si>
  <si>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</si>
  <si>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</si>
  <si>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</si>
  <si>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</si>
  <si>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</si>
  <si>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</si>
  <si>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</si>
  <si>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</si>
  <si>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</si>
  <si>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</si>
  <si>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</si>
  <si>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</si>
  <si>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</si>
  <si>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</si>
  <si>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</si>
  <si>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</si>
  <si>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</si>
  <si>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</si>
  <si>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</si>
  <si>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</si>
  <si>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</si>
  <si>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</si>
  <si>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</si>
  <si>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</si>
  <si>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</si>
  <si>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</si>
  <si>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</si>
  <si>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</si>
  <si>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</si>
  <si>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</si>
  <si>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</si>
  <si>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</si>
  <si>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</si>
  <si>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</si>
  <si>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</si>
  <si>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</si>
  <si>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</si>
  <si>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</si>
  <si>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</si>
  <si>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</si>
  <si>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</si>
  <si>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</si>
  <si>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</si>
  <si>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</si>
  <si>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</si>
  <si>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</si>
  <si>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</si>
  <si>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</si>
  <si>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</si>
  <si>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</si>
  <si>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</si>
  <si>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</si>
  <si>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</si>
  <si>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</si>
  <si>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</si>
  <si>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</si>
  <si>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</si>
  <si>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</si>
  <si>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</si>
  <si>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</si>
  <si>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</si>
  <si>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</si>
  <si>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</si>
  <si>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</si>
  <si>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</si>
  <si>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</si>
  <si>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</si>
  <si>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</si>
  <si>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</si>
  <si>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</si>
  <si>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</si>
  <si>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</si>
  <si>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</si>
  <si>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</si>
  <si>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</si>
  <si>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</si>
  <si>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</si>
  <si>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</si>
  <si>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</si>
  <si>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</si>
  <si>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</si>
  <si>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</si>
  <si>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</si>
  <si>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</si>
  <si>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</si>
  <si>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</si>
  <si>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</si>
  <si>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</si>
  <si>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</si>
  <si>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</si>
  <si>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</si>
  <si>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</si>
  <si>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</si>
  <si>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</si>
  <si>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</si>
  <si>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</si>
  <si>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</si>
  <si>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</si>
  <si>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</si>
  <si>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</si>
  <si>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</si>
  <si>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</si>
  <si>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</si>
  <si>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</si>
  <si>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</si>
  <si>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</si>
  <si>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</si>
  <si>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</si>
  <si>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</si>
  <si>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</si>
  <si>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</si>
  <si>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</si>
  <si>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</si>
  <si>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</si>
  <si>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</si>
  <si>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</si>
  <si>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</si>
  <si>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</si>
  <si>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</si>
  <si>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</si>
  <si>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</si>
  <si>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</si>
  <si>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</si>
  <si>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</si>
  <si>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</si>
  <si>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</si>
  <si>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</si>
  <si>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</si>
  <si>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</si>
  <si>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</si>
  <si>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</si>
  <si>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</si>
  <si>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</si>
  <si>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</si>
  <si>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</si>
  <si>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</si>
  <si>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</si>
  <si>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</si>
  <si>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</si>
  <si>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</si>
  <si>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</si>
  <si>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</si>
  <si>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</si>
  <si>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</si>
  <si>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</si>
  <si>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</si>
  <si>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</si>
  <si>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</si>
  <si>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</si>
  <si>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</si>
  <si>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</si>
  <si>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</si>
  <si>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</si>
  <si>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</si>
  <si>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</si>
  <si>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</si>
  <si>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</si>
  <si>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</si>
  <si>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</si>
  <si>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</si>
  <si>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</si>
  <si>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</si>
  <si>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</si>
  <si>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</si>
  <si>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</si>
  <si>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</si>
  <si>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</si>
  <si>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</si>
  <si>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</si>
  <si>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</si>
  <si>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</si>
  <si>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</si>
  <si>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</si>
  <si>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</si>
  <si>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</si>
  <si>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</si>
  <si>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</si>
  <si>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</si>
  <si>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</si>
  <si>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</si>
  <si>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</si>
  <si>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</si>
  <si>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</si>
  <si>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</si>
  <si>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</si>
  <si>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</si>
  <si>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</si>
  <si>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</si>
  <si>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</si>
  <si>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</si>
  <si>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</si>
  <si>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</si>
  <si>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</si>
  <si>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</si>
  <si>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</si>
  <si>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</si>
  <si>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</si>
  <si>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</si>
  <si>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</si>
  <si>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</si>
  <si>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</si>
  <si>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</si>
  <si>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</si>
  <si>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</si>
  <si>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</si>
  <si>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</si>
  <si>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</si>
  <si>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</si>
  <si>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</si>
  <si>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</si>
  <si>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</si>
  <si>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</si>
  <si>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</si>
  <si>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</si>
  <si>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</si>
  <si>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</si>
  <si>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</si>
  <si>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</si>
  <si>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</si>
  <si>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</si>
  <si>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</si>
  <si>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</si>
  <si>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</si>
  <si>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</si>
  <si>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</si>
  <si>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</si>
  <si>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</si>
  <si>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</si>
  <si>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</si>
  <si>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</si>
  <si>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</si>
  <si>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</si>
  <si>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</si>
  <si>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</si>
  <si>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</si>
  <si>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</si>
  <si>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</si>
  <si>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</si>
  <si>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</si>
  <si>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</si>
  <si>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</si>
  <si>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</si>
  <si>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</si>
  <si>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</si>
  <si>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</si>
  <si>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</si>
  <si>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</si>
  <si>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</si>
  <si>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</si>
  <si>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</si>
  <si>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</si>
  <si>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</si>
  <si>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</si>
  <si>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</si>
  <si>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</si>
  <si>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</si>
  <si>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</si>
  <si>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</si>
  <si>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</si>
  <si>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</si>
  <si>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</si>
  <si>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</si>
  <si>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</si>
  <si>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</si>
  <si>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</si>
  <si>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</si>
  <si>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</si>
  <si>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</si>
  <si>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</si>
  <si>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</si>
  <si>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</si>
  <si>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</si>
  <si>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</si>
  <si>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</si>
  <si>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</si>
  <si>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</si>
  <si>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</si>
  <si>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</si>
  <si>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</si>
  <si>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</si>
  <si>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</si>
  <si>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</si>
  <si>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</si>
  <si>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</si>
  <si>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</si>
  <si>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</si>
  <si>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</si>
  <si>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</si>
  <si>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</si>
  <si>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</si>
  <si>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</si>
  <si>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</si>
  <si>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</si>
  <si>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</si>
  <si>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</si>
  <si>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</si>
  <si>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</si>
  <si>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</si>
  <si>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</si>
  <si>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</si>
  <si>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</si>
  <si>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</si>
  <si>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</si>
  <si>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</si>
  <si>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</si>
  <si>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</si>
  <si>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</si>
  <si>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</si>
  <si>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</si>
  <si>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</si>
  <si>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</si>
  <si>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</si>
  <si>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</si>
  <si>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</si>
  <si>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</si>
  <si>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</si>
  <si>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</si>
  <si>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</si>
  <si>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</si>
  <si>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</si>
  <si>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</si>
  <si>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</si>
  <si>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</si>
  <si>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</si>
  <si>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</si>
  <si>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</si>
  <si>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</si>
  <si>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</si>
  <si>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</si>
  <si>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</si>
  <si>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</si>
  <si>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</si>
  <si>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</si>
  <si>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</si>
  <si>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</si>
  <si>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</si>
  <si>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</si>
  <si>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</si>
  <si>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</si>
  <si>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</si>
  <si>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</si>
  <si>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</si>
  <si>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</si>
  <si>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</si>
  <si>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</si>
  <si>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</si>
  <si>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</si>
  <si>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</si>
  <si>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</si>
  <si>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</si>
  <si>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</si>
  <si>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</si>
  <si>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</si>
  <si>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</si>
  <si>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</si>
  <si>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</si>
  <si>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</si>
  <si>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</si>
  <si>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</si>
  <si>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</si>
  <si>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</si>
  <si>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</si>
  <si>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</si>
  <si>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</si>
  <si>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</si>
  <si>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</si>
  <si>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</si>
  <si>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</si>
  <si>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</si>
  <si>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</si>
  <si>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</si>
  <si>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</si>
  <si>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</si>
  <si>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</si>
  <si>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</si>
  <si>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</si>
  <si>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</si>
  <si>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</si>
  <si>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</si>
  <si>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</si>
  <si>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</si>
  <si>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</si>
  <si>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</si>
  <si>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</si>
  <si>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</si>
  <si>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</si>
  <si>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</si>
  <si>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</si>
  <si>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</si>
  <si>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</si>
  <si>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</si>
  <si>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</si>
  <si>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</si>
  <si>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</si>
  <si>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</si>
  <si>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</si>
  <si>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</si>
  <si>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</si>
  <si>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</si>
  <si>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</si>
  <si>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</si>
  <si>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</si>
  <si>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</si>
  <si>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</si>
  <si>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</si>
  <si>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</si>
  <si>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</si>
  <si>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</si>
  <si>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</si>
  <si>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</si>
  <si>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</si>
  <si>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</si>
  <si>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</si>
  <si>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</si>
  <si>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</si>
  <si>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</si>
  <si>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</si>
  <si>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</si>
  <si>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</si>
  <si>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</si>
  <si>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</si>
  <si>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</si>
  <si>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</si>
  <si>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</si>
  <si>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</si>
  <si>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</si>
  <si>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</si>
  <si>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</si>
  <si>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</si>
  <si>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</si>
  <si>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</si>
  <si>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</si>
  <si>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</si>
  <si>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</si>
  <si>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</si>
  <si>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</si>
  <si>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</si>
  <si>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</si>
  <si>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</si>
  <si>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</si>
  <si>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</si>
  <si>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</si>
  <si>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</si>
  <si>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</si>
  <si>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</si>
  <si>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</si>
  <si>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</si>
  <si>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</si>
  <si>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</si>
  <si>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</si>
  <si>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</si>
  <si>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</si>
  <si>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</si>
  <si>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</si>
  <si>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</si>
  <si>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</si>
  <si>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</si>
  <si>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</si>
  <si>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</si>
  <si>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</si>
  <si>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</si>
  <si>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</si>
  <si>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</si>
  <si>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</si>
  <si>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</si>
  <si>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</si>
  <si>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</si>
  <si>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</si>
  <si>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</si>
  <si>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</si>
  <si>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</si>
  <si>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</si>
  <si>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</si>
  <si>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</si>
  <si>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</si>
  <si>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</si>
  <si>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</si>
  <si>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</si>
  <si>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</si>
  <si>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</si>
  <si>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</si>
  <si>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</si>
  <si>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</si>
  <si>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</si>
  <si>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</si>
  <si>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</si>
  <si>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</si>
  <si>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</si>
  <si>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</si>
  <si>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</si>
  <si>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</si>
  <si>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</si>
  <si>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</si>
  <si>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</si>
  <si>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</si>
  <si>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</si>
  <si>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</si>
  <si>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</si>
  <si>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</si>
  <si>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</si>
  <si>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</si>
  <si>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</si>
  <si>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</si>
  <si>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</si>
  <si>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</si>
  <si>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</si>
  <si>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</si>
  <si>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</si>
  <si>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</si>
  <si>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</si>
  <si>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</si>
  <si>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</si>
  <si>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</si>
  <si>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</si>
  <si>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</si>
  <si>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</si>
  <si>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</si>
  <si>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</si>
  <si>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</si>
  <si>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</si>
  <si>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</si>
  <si>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</si>
  <si>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</si>
  <si>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</si>
  <si>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</si>
  <si>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</si>
  <si>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</si>
  <si>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</si>
  <si>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</si>
  <si>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</si>
  <si>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</si>
  <si>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</si>
  <si>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</si>
  <si>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</si>
  <si>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</si>
  <si>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</si>
  <si>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</si>
  <si>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</si>
  <si>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</si>
  <si>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</si>
  <si>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</si>
  <si>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</si>
  <si>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</si>
  <si>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</si>
  <si>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</si>
  <si>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</si>
  <si>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</si>
  <si>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</si>
  <si>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</si>
  <si>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</si>
  <si>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</si>
  <si>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</si>
  <si>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</si>
  <si>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</si>
  <si>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</si>
  <si>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</si>
  <si>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</si>
  <si>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</si>
  <si>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</si>
  <si>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</si>
  <si>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</si>
  <si>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</si>
  <si>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</si>
  <si>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</si>
  <si>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</si>
  <si>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</si>
  <si>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</si>
  <si>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</si>
  <si>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</si>
  <si>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</si>
  <si>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</si>
  <si>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</si>
  <si>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</si>
  <si>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</si>
  <si>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</si>
  <si>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</si>
  <si>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</si>
  <si>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</si>
  <si>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</si>
  <si>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</si>
  <si>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</si>
  <si>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</si>
  <si>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</si>
  <si>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</si>
  <si>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</si>
  <si>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</si>
  <si>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</si>
  <si>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</si>
  <si>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</si>
  <si>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</si>
  <si>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</si>
  <si>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</si>
  <si>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</si>
  <si>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</si>
  <si>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</si>
  <si>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</si>
  <si>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</si>
  <si>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</si>
  <si>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</si>
  <si>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</si>
  <si>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</si>
  <si>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</si>
  <si>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</si>
  <si>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</si>
  <si>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</si>
  <si>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</si>
  <si>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</si>
  <si>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</si>
  <si>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</si>
  <si>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</si>
  <si>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</si>
  <si>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</si>
  <si>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</si>
  <si>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</si>
  <si>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</si>
  <si>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</si>
  <si>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</si>
  <si>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</si>
  <si>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</si>
  <si>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</si>
  <si>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</si>
  <si>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</si>
  <si>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</si>
  <si>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</si>
  <si>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</si>
  <si>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</si>
  <si>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</si>
  <si>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</si>
  <si>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</si>
  <si>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</si>
  <si>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</si>
  <si>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</si>
  <si>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</si>
  <si>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</si>
  <si>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</si>
  <si>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</si>
  <si>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</si>
  <si>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</si>
  <si>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</si>
  <si>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</si>
  <si>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</si>
  <si>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</si>
  <si>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</si>
  <si>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</si>
  <si>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</si>
  <si>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</si>
  <si>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</si>
  <si>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</si>
  <si>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</si>
  <si>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</si>
  <si>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</si>
  <si>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</si>
  <si>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</si>
  <si>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</si>
  <si>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</si>
  <si>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</si>
  <si>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</si>
  <si>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</si>
  <si>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</si>
  <si>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</si>
  <si>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</si>
  <si>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</si>
  <si>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</si>
  <si>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</si>
  <si>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</si>
  <si>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</si>
  <si>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</si>
  <si>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</si>
  <si>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</si>
  <si>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</si>
  <si>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</si>
  <si>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</si>
  <si>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</si>
  <si>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</si>
  <si>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</si>
  <si>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</si>
  <si>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</si>
  <si>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</si>
  <si>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</si>
  <si>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</si>
  <si>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</si>
  <si>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</si>
  <si>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</si>
  <si>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</si>
  <si>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</si>
  <si>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</si>
  <si>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</si>
  <si>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</si>
  <si>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</si>
  <si>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</si>
  <si>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</si>
  <si>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</si>
  <si>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</si>
  <si>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</si>
  <si>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</si>
  <si>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</si>
  <si>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</si>
  <si>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</si>
  <si>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</si>
  <si>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</si>
  <si>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</si>
  <si>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</si>
  <si>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</si>
  <si>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</si>
  <si>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</si>
  <si>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</si>
  <si>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</si>
  <si>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</si>
  <si>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</si>
  <si>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</si>
  <si>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</si>
  <si>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</si>
  <si>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</si>
  <si>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</si>
  <si>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</si>
  <si>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</si>
  <si>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</si>
  <si>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</si>
  <si>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</si>
  <si>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</si>
  <si>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</si>
  <si>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</si>
  <si>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</si>
  <si>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</si>
  <si>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</si>
  <si>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</si>
  <si>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</si>
  <si>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</si>
  <si>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</si>
  <si>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</si>
  <si>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</si>
  <si>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</si>
  <si>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</si>
  <si>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</si>
  <si>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</si>
  <si>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</si>
  <si>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</si>
  <si>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</si>
  <si>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</si>
  <si>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</si>
  <si>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</si>
  <si>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</si>
  <si>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</si>
  <si>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</si>
  <si>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</si>
  <si>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</si>
  <si>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</si>
  <si>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</si>
  <si>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</si>
  <si>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</si>
  <si>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</si>
  <si>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</si>
  <si>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</si>
  <si>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</si>
  <si>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</si>
  <si>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</si>
  <si>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</si>
  <si>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</si>
  <si>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</si>
  <si>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</si>
  <si>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</si>
  <si>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</si>
  <si>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</si>
  <si>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</si>
  <si>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</si>
  <si>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</si>
  <si>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</si>
  <si>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</si>
  <si>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</si>
  <si>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</si>
  <si>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</si>
  <si>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</si>
  <si>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</si>
  <si>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</si>
  <si>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</si>
  <si>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</si>
  <si>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</si>
  <si>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</si>
  <si>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</si>
  <si>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</si>
  <si>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</si>
  <si>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</si>
  <si>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</si>
  <si>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</si>
  <si>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</si>
  <si>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</si>
  <si>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</si>
  <si>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</si>
  <si>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</si>
  <si>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</si>
  <si>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</si>
  <si>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</si>
  <si>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</si>
  <si>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</si>
  <si>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</si>
  <si>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</si>
  <si>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</si>
  <si>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</si>
  <si>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</si>
  <si>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</si>
  <si>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</si>
  <si>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</si>
  <si>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</si>
  <si>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</si>
  <si>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</si>
  <si>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</si>
  <si>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</si>
  <si>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</si>
  <si>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</si>
  <si>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</si>
  <si>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</si>
  <si>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</si>
  <si>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</si>
  <si>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</si>
  <si>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</si>
  <si>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</si>
  <si>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</si>
  <si>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</si>
  <si>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</si>
  <si>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</si>
  <si>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</si>
  <si>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</si>
  <si>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</si>
  <si>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</si>
  <si>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</si>
  <si>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</si>
  <si>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</si>
  <si>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</si>
  <si>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</si>
  <si>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</si>
  <si>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</si>
  <si>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</si>
  <si>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</si>
  <si>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</si>
  <si>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</si>
  <si>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</si>
  <si>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</si>
  <si>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</si>
  <si>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</si>
  <si>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</si>
  <si>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</si>
  <si>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</si>
  <si>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</si>
  <si>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</si>
  <si>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</si>
  <si>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</si>
  <si>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</si>
  <si>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</si>
  <si>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</si>
  <si>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</si>
  <si>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</si>
  <si>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</si>
  <si>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</si>
  <si>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</si>
  <si>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</si>
  <si>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</si>
  <si>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</si>
  <si>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</si>
  <si>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</si>
  <si>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</si>
  <si>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</si>
  <si>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</si>
  <si>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</si>
  <si>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</si>
  <si>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</si>
  <si>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</si>
  <si>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</si>
  <si>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</si>
  <si>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</si>
  <si>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</si>
  <si>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</si>
  <si>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</si>
  <si>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</si>
  <si>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</si>
  <si>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</si>
  <si>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</si>
  <si>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</si>
  <si>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</si>
  <si>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</si>
  <si>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</si>
  <si>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</si>
  <si>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</si>
  <si>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</si>
  <si>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</si>
  <si>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</si>
  <si>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</si>
  <si>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</si>
  <si>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</si>
  <si>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</si>
  <si>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</si>
  <si>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</si>
  <si>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</si>
  <si>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</si>
  <si>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</si>
  <si>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</si>
  <si>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</si>
  <si>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</si>
  <si>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</si>
  <si>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</si>
  <si>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</si>
  <si>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</si>
  <si>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</si>
  <si>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</si>
  <si>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</si>
  <si>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</si>
  <si>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</si>
  <si>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</si>
  <si>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</si>
  <si>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</si>
  <si>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</si>
  <si>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</si>
  <si>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</si>
  <si>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</si>
  <si>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</si>
  <si>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</si>
  <si>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</si>
  <si>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</si>
  <si>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</si>
  <si>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</si>
  <si>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</si>
  <si>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</si>
  <si>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</si>
  <si>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</si>
  <si>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</si>
  <si>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</si>
  <si>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</si>
  <si>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</si>
  <si>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</si>
  <si>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</si>
  <si>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</si>
  <si>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</si>
  <si>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</si>
  <si>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</si>
  <si>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</si>
  <si>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</si>
  <si>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</si>
  <si>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</si>
  <si>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</si>
  <si>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</si>
  <si>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</si>
  <si>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</si>
  <si>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</si>
  <si>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</si>
  <si>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</si>
  <si>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</si>
  <si>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</si>
  <si>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</si>
  <si>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</si>
  <si>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</si>
  <si>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</si>
  <si>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</si>
  <si>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</si>
  <si>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</si>
  <si>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</si>
  <si>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</si>
  <si>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</si>
  <si>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</si>
  <si>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</si>
  <si>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</si>
  <si>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</si>
  <si>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</si>
  <si>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</si>
  <si>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</si>
  <si>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</si>
  <si>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</si>
  <si>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</si>
  <si>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</si>
  <si>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</si>
  <si>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</si>
  <si>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</si>
  <si>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</si>
  <si>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</si>
  <si>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</si>
  <si>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</si>
  <si>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</si>
  <si>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</si>
  <si>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</si>
  <si>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</si>
  <si>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</si>
  <si>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</si>
  <si>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</si>
  <si>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</si>
  <si>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</si>
  <si>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</si>
  <si>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</si>
  <si>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</si>
  <si>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</si>
  <si>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</si>
  <si>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</si>
  <si>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</si>
  <si>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</si>
  <si>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</si>
  <si>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</si>
  <si>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</si>
  <si>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</si>
  <si>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</si>
  <si>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</si>
  <si>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</si>
  <si>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</si>
  <si>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</si>
  <si>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</si>
  <si>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</si>
  <si>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</si>
  <si>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</si>
  <si>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</si>
  <si>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</si>
  <si>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</si>
  <si>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</si>
  <si>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</si>
  <si>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</si>
  <si>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</si>
  <si>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</si>
  <si>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</si>
  <si>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</si>
  <si>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</si>
  <si>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</si>
  <si>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</si>
  <si>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</si>
  <si>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</si>
  <si>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</si>
  <si>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</si>
  <si>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</si>
  <si>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</si>
  <si>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</si>
  <si>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</si>
  <si>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</si>
  <si>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</si>
  <si>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</si>
  <si>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</si>
  <si>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</si>
  <si>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</si>
  <si>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</si>
  <si>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</si>
  <si>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</si>
  <si>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</si>
  <si>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</si>
  <si>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</si>
  <si>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</si>
  <si>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</si>
  <si>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</si>
  <si>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</si>
  <si>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</si>
  <si>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</si>
  <si>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</si>
  <si>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</si>
  <si>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</si>
  <si>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</si>
  <si>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</si>
  <si>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</si>
  <si>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</si>
  <si>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</si>
  <si>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</si>
  <si>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</si>
  <si>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</si>
  <si>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</si>
  <si>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</si>
  <si>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</si>
  <si>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</si>
  <si>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</si>
  <si>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</si>
  <si>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</si>
  <si>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</si>
  <si>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</si>
  <si>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</si>
  <si>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</si>
  <si>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</si>
  <si>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</si>
  <si>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</si>
  <si>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</si>
  <si>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</si>
  <si>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</si>
  <si>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</si>
  <si>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</si>
  <si>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</si>
  <si>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</si>
  <si>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</si>
  <si>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</si>
  <si>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</si>
  <si>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</si>
  <si>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</si>
  <si>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</si>
  <si>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</si>
  <si>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</si>
  <si>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</si>
  <si>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</si>
  <si>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</si>
  <si>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</si>
  <si>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</si>
  <si>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</si>
  <si>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</si>
  <si>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</si>
  <si>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</si>
  <si>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</si>
  <si>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</si>
  <si>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</si>
  <si>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</si>
  <si>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</si>
  <si>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</si>
  <si>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</si>
  <si>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</si>
  <si>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</si>
  <si>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</si>
  <si>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</si>
  <si>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</si>
  <si>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</si>
  <si>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</si>
  <si>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</si>
  <si>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</si>
  <si>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</si>
  <si>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</si>
  <si>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</si>
  <si>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</si>
  <si>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</si>
  <si>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</si>
  <si>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</si>
  <si>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</si>
  <si>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</si>
  <si>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</si>
  <si>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</si>
  <si>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</si>
  <si>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</si>
  <si>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</si>
  <si>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</si>
  <si>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</si>
  <si>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</si>
  <si>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</si>
  <si>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</si>
  <si>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</si>
  <si>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</si>
  <si>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</si>
  <si>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</si>
  <si>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</si>
  <si>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</si>
  <si>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</si>
  <si>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</si>
  <si>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</si>
  <si>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</si>
  <si>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</si>
  <si>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</si>
  <si>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</si>
  <si>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</si>
  <si>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</si>
  <si>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</si>
  <si>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</si>
  <si>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</si>
  <si>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</si>
  <si>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</si>
  <si>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</si>
  <si>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</si>
  <si>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</si>
  <si>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</si>
  <si>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</si>
  <si>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</si>
  <si>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</si>
  <si>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</si>
  <si>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</si>
  <si>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</si>
  <si>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</si>
  <si>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</si>
  <si>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</si>
  <si>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</si>
  <si>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</si>
  <si>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</si>
  <si>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</si>
  <si>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</si>
  <si>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</si>
  <si>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</si>
  <si>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</si>
  <si>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</si>
  <si>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</si>
  <si>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</si>
  <si>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</si>
  <si>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</si>
  <si>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</si>
  <si>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</si>
  <si>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</si>
  <si>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</si>
  <si>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</si>
  <si>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</si>
  <si>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</si>
  <si>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</si>
  <si>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</si>
  <si>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</si>
  <si>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</si>
  <si>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</si>
  <si>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</si>
  <si>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</si>
  <si>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</si>
  <si>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</si>
  <si>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</si>
  <si>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</si>
  <si>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</si>
  <si>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</si>
  <si>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</si>
  <si>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</si>
  <si>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</si>
  <si>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</si>
  <si>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</si>
  <si>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</si>
  <si>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</si>
  <si>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</si>
  <si>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</si>
  <si>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</si>
  <si>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</si>
  <si>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</si>
  <si>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</si>
  <si>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</si>
  <si>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</si>
  <si>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</si>
  <si>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</si>
  <si>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</si>
  <si>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</si>
  <si>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</si>
  <si>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</si>
  <si>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</si>
  <si>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</si>
  <si>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</si>
  <si>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</si>
  <si>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</si>
  <si>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</si>
  <si>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</si>
  <si>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</si>
  <si>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</si>
  <si>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</si>
  <si>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</si>
  <si>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</si>
  <si>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</si>
  <si>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</si>
  <si>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</si>
  <si>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</si>
  <si>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</si>
  <si>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</si>
  <si>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</si>
  <si>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</si>
  <si>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</si>
  <si>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</si>
  <si>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</si>
  <si>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</si>
  <si>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</si>
  <si>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</si>
  <si>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</si>
  <si>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</si>
  <si>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</si>
  <si>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</si>
  <si>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</si>
  <si>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</si>
  <si>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</si>
  <si>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</si>
  <si>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</si>
  <si>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</si>
  <si>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</si>
  <si>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</si>
  <si>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</si>
  <si>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</si>
  <si>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</si>
  <si>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</si>
  <si>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</si>
  <si>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</si>
  <si>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</si>
  <si>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</si>
  <si>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</si>
  <si>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</si>
  <si>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</si>
  <si>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</si>
  <si>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</si>
  <si>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</si>
  <si>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</si>
  <si>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</si>
  <si>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</si>
  <si>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</si>
  <si>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</si>
  <si>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</si>
  <si>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</si>
  <si>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</si>
  <si>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</si>
  <si>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</si>
  <si>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</si>
  <si>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</si>
  <si>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</si>
  <si>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</si>
  <si>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</si>
  <si>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</si>
  <si>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</si>
  <si>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</si>
  <si>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</si>
  <si>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</si>
  <si>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</si>
  <si>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</si>
  <si>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</si>
  <si>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</si>
  <si>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</si>
  <si>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</si>
  <si>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</si>
  <si>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</si>
  <si>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</si>
  <si>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</si>
  <si>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</si>
  <si>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</si>
  <si>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</si>
  <si>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</si>
  <si>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</si>
  <si>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</si>
  <si>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</si>
  <si>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</si>
  <si>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</si>
  <si>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</si>
  <si>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</si>
  <si>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</si>
  <si>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</si>
  <si>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</si>
  <si>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</si>
  <si>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</si>
  <si>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</si>
  <si>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</si>
  <si>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</si>
  <si>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</si>
  <si>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</si>
  <si>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</si>
  <si>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</si>
  <si>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</si>
  <si>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</si>
  <si>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</si>
  <si>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</si>
  <si>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</si>
  <si>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</si>
  <si>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</si>
  <si>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</si>
  <si>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</si>
  <si>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</si>
  <si>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</si>
  <si>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</si>
  <si>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</si>
  <si>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</si>
  <si>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</si>
  <si>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</si>
  <si>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</si>
  <si>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</si>
  <si>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</si>
  <si>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</si>
  <si>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</si>
  <si>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</si>
  <si>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</si>
  <si>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</si>
  <si>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</si>
  <si>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</si>
  <si>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</si>
  <si>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</si>
  <si>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</si>
  <si>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</si>
  <si>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</si>
  <si>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</si>
  <si>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</si>
  <si>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</si>
  <si>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</si>
  <si>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</si>
  <si>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</si>
  <si>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</si>
  <si>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</si>
  <si>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</si>
  <si>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</si>
  <si>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</si>
  <si>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</si>
  <si>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</si>
  <si>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</si>
  <si>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</si>
  <si>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</si>
  <si>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</si>
  <si>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</si>
  <si>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</si>
  <si>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</si>
  <si>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</si>
  <si>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</si>
  <si>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</si>
  <si>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</si>
  <si>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</si>
  <si>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</si>
  <si>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</si>
  <si>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</si>
  <si>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</si>
  <si>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</si>
  <si>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</si>
  <si>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</si>
  <si>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</si>
  <si>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</si>
  <si>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</si>
  <si>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</si>
  <si>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</si>
  <si>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</si>
  <si>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</si>
  <si>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</si>
  <si>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</si>
  <si>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</si>
  <si>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</si>
  <si>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</si>
  <si>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</si>
  <si>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</si>
  <si>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</si>
  <si>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</si>
  <si>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</si>
  <si>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</si>
  <si>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</si>
  <si>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</si>
  <si>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</si>
  <si>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</si>
  <si>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</si>
  <si>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</si>
  <si>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</si>
  <si>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</si>
  <si>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</si>
  <si>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</si>
  <si>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</si>
  <si>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</si>
  <si>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</si>
  <si>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</si>
  <si>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</si>
  <si>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</si>
  <si>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</si>
  <si>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</si>
  <si>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</si>
  <si>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</si>
  <si>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</si>
  <si>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</si>
  <si>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</si>
  <si>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</si>
  <si>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</si>
  <si>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</si>
  <si>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</si>
  <si>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</si>
  <si>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</si>
  <si>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</si>
  <si>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</si>
  <si>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</si>
  <si>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</si>
  <si>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</si>
  <si>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</si>
  <si>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</si>
  <si>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</si>
  <si>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</si>
  <si>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</si>
  <si>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</si>
  <si>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</si>
  <si>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</si>
  <si>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</si>
  <si>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</si>
  <si>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</si>
  <si>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</si>
  <si>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</si>
  <si>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</si>
  <si>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</si>
  <si>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</si>
  <si>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</si>
  <si>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</si>
  <si>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</si>
  <si>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</si>
  <si>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</si>
  <si>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</si>
  <si>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</si>
  <si>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</si>
  <si>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</si>
  <si>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</si>
  <si>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</si>
  <si>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</si>
  <si>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</si>
  <si>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</si>
  <si>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</si>
  <si>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</si>
  <si>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</si>
  <si>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</si>
  <si>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</si>
  <si>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</si>
  <si>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</si>
  <si>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</si>
  <si>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</si>
  <si>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</si>
  <si>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</si>
  <si>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</si>
  <si>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</si>
  <si>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</si>
  <si>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</si>
  <si>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</si>
  <si>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</si>
  <si>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</si>
  <si>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</si>
  <si>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</si>
  <si>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</si>
  <si>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</si>
  <si>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</si>
  <si>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</si>
  <si>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</si>
  <si>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</si>
  <si>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</si>
  <si>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</si>
  <si>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</si>
  <si>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</si>
  <si>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</si>
  <si>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</si>
  <si>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</si>
  <si>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</si>
  <si>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</si>
  <si>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</si>
  <si>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</si>
  <si>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</si>
  <si>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</si>
  <si>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</si>
  <si>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</si>
  <si>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</si>
  <si>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</si>
  <si>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</si>
  <si>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</si>
  <si>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</si>
  <si>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</si>
  <si>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</si>
  <si>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</si>
  <si>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</si>
  <si>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</si>
  <si>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</si>
  <si>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</si>
  <si>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</si>
  <si>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</si>
  <si>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</si>
  <si>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</si>
  <si>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</si>
  <si>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</si>
  <si>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</si>
  <si>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</si>
  <si>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</si>
  <si>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</si>
  <si>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</si>
  <si>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</si>
  <si>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</si>
  <si>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</si>
  <si>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</si>
  <si>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</si>
  <si>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</si>
  <si>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</si>
  <si>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</si>
  <si>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</si>
  <si>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</si>
  <si>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</si>
  <si>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</si>
  <si>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</si>
  <si>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</si>
  <si>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</si>
  <si>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</si>
  <si>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</si>
  <si>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</si>
  <si>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</si>
  <si>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</si>
  <si>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</si>
  <si>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</si>
  <si>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</si>
  <si>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</si>
  <si>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</si>
  <si>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</si>
  <si>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</si>
  <si>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</si>
  <si>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</si>
  <si>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</si>
  <si>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</si>
  <si>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</si>
  <si>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</si>
  <si>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</si>
  <si>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</si>
  <si>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</si>
  <si>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</si>
  <si>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</si>
  <si>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</si>
  <si>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</si>
  <si>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</si>
  <si>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</si>
  <si>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</si>
  <si>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</si>
  <si>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</si>
  <si>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</si>
  <si>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</si>
  <si>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</si>
  <si>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</si>
  <si>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</si>
  <si>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</si>
  <si>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</si>
  <si>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</si>
  <si>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</si>
  <si>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</si>
  <si>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</si>
  <si>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</si>
  <si>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</si>
  <si>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</si>
  <si>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</si>
  <si>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</si>
  <si>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</si>
  <si>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</si>
  <si>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</si>
  <si>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</si>
  <si>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</si>
  <si>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</si>
  <si>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</si>
  <si>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</si>
  <si>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</si>
  <si>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</si>
  <si>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</si>
  <si>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</si>
  <si>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</si>
  <si>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</si>
  <si>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</si>
  <si>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</si>
  <si>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</si>
  <si>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</si>
  <si>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</si>
  <si>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</si>
  <si>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</si>
  <si>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</si>
  <si>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</si>
  <si>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</si>
  <si>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</si>
  <si>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</si>
  <si>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</si>
  <si>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</si>
  <si>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</si>
  <si>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</si>
  <si>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</si>
  <si>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</si>
  <si>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</si>
  <si>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</si>
  <si>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</si>
  <si>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</si>
  <si>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</si>
  <si>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</si>
  <si>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</si>
  <si>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</si>
  <si>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</si>
  <si>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</si>
  <si>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</si>
  <si>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</si>
  <si>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</si>
  <si>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</si>
  <si>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</si>
  <si>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</si>
  <si>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</si>
  <si>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</si>
  <si>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</si>
  <si>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</si>
  <si>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</si>
  <si>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</si>
  <si>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</si>
  <si>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</si>
  <si>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</si>
  <si>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</si>
  <si>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</si>
  <si>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</si>
  <si>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</si>
  <si>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</si>
  <si>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</si>
  <si>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</si>
  <si>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</si>
  <si>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</si>
  <si>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</si>
  <si>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</si>
  <si>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</si>
  <si>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</si>
  <si>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</si>
  <si>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</si>
  <si>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</si>
  <si>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</si>
  <si>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</si>
  <si>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</si>
  <si>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</si>
  <si>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</si>
  <si>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</si>
  <si>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</si>
  <si>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</si>
  <si>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</si>
  <si>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</si>
  <si>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</si>
  <si>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</si>
  <si>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</si>
  <si>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</si>
  <si>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</si>
  <si>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</si>
  <si>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</si>
  <si>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</si>
  <si>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</si>
  <si>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</si>
  <si>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</si>
  <si>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</si>
  <si>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</si>
  <si>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</si>
  <si>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</si>
  <si>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</si>
  <si>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</si>
  <si>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</si>
  <si>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</si>
  <si>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</si>
  <si>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</si>
  <si>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</si>
  <si>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</si>
  <si>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</si>
  <si>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</si>
  <si>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</si>
  <si>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</si>
  <si>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</si>
  <si>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</si>
  <si>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</si>
  <si>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</si>
  <si>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</si>
  <si>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</si>
  <si>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</si>
  <si>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</si>
  <si>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</si>
  <si>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</si>
  <si>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</si>
  <si>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</si>
  <si>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</si>
  <si>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</si>
  <si>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</si>
  <si>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</si>
  <si>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</si>
  <si>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</si>
  <si>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</si>
  <si>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</si>
  <si>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</si>
  <si>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</si>
  <si>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</si>
  <si>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</si>
  <si>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</si>
  <si>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</si>
  <si>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</si>
  <si>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</si>
  <si>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</si>
  <si>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</si>
  <si>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</si>
  <si>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</si>
  <si>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</si>
  <si>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</si>
  <si>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</si>
  <si>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</si>
  <si>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</si>
  <si>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</si>
  <si>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</si>
  <si>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</si>
  <si>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</si>
  <si>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</si>
  <si>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</si>
  <si>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</si>
  <si>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</si>
  <si>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</si>
  <si>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</si>
  <si>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</si>
  <si>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</si>
  <si>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</si>
  <si>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</si>
  <si>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</si>
  <si>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</si>
  <si>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</si>
  <si>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</si>
  <si>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</si>
  <si>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</si>
  <si>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</si>
  <si>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</si>
  <si>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</si>
  <si>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</si>
  <si>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</si>
  <si>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</si>
  <si>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</si>
  <si>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</si>
  <si>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</si>
  <si>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</si>
  <si>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</si>
  <si>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</si>
  <si>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</si>
  <si>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</si>
  <si>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</si>
  <si>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</si>
  <si>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</si>
  <si>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</si>
  <si>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</si>
  <si>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</si>
  <si>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</si>
  <si>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</si>
  <si>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</si>
  <si>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</si>
  <si>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</si>
  <si>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</si>
  <si>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</si>
  <si>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</si>
  <si>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</si>
  <si>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</si>
  <si>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</si>
  <si>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</si>
  <si>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</si>
  <si>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</si>
  <si>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</si>
  <si>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</si>
  <si>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</si>
  <si>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</si>
  <si>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</si>
  <si>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</si>
  <si>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</si>
  <si>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</si>
  <si>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</si>
  <si>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</si>
  <si>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</si>
  <si>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</si>
  <si>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</si>
  <si>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</si>
  <si>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</si>
  <si>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</si>
  <si>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</si>
  <si>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</si>
  <si>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</si>
  <si>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</si>
  <si>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</si>
  <si>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</si>
  <si>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</si>
  <si>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</si>
  <si>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</si>
  <si>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</si>
  <si>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</si>
  <si>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</si>
  <si>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</si>
  <si>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</si>
  <si>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</si>
  <si>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</si>
  <si>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</si>
  <si>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</si>
  <si>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</si>
  <si>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</si>
  <si>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</si>
  <si>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</si>
  <si>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</si>
  <si>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</si>
  <si>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</si>
  <si>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</si>
  <si>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</si>
  <si>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</si>
  <si>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</si>
  <si>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</si>
  <si>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</si>
  <si>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</si>
  <si>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</si>
  <si>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</si>
  <si>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</si>
  <si>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</si>
  <si>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</si>
  <si>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</si>
  <si>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</si>
  <si>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</si>
  <si>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</si>
  <si>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</si>
  <si>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</si>
  <si>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</si>
  <si>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</si>
  <si>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</si>
  <si>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</si>
  <si>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</si>
  <si>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</si>
  <si>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</si>
  <si>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</si>
  <si>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</si>
  <si>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</si>
  <si>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</si>
  <si>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</si>
  <si>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</si>
  <si>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</si>
  <si>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</si>
  <si>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</si>
  <si>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</si>
  <si>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</si>
  <si>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</si>
  <si>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</si>
  <si>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</si>
  <si>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</si>
  <si>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</si>
  <si>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</si>
  <si>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</si>
  <si>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</si>
  <si>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</si>
  <si>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</si>
  <si>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</si>
  <si>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</si>
  <si>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</si>
  <si>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</si>
  <si>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</si>
  <si>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</si>
  <si>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</si>
  <si>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</si>
  <si>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</si>
  <si>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</si>
  <si>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</si>
  <si>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</si>
  <si>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</si>
  <si>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</si>
  <si>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</si>
  <si>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</si>
  <si>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</si>
  <si>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</si>
  <si>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</si>
  <si>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</si>
  <si>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</si>
  <si>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</si>
  <si>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</si>
  <si>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</si>
  <si>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</si>
  <si>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</si>
  <si>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</si>
  <si>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</si>
  <si>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</si>
  <si>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</si>
  <si>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</si>
  <si>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</si>
  <si>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</si>
  <si>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</si>
  <si>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</si>
  <si>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</si>
  <si>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</si>
  <si>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</si>
  <si>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</si>
  <si>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</si>
  <si>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</si>
  <si>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</si>
  <si>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</si>
  <si>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</si>
  <si>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</si>
  <si>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</si>
  <si>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</si>
  <si>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</si>
  <si>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</si>
  <si>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</si>
  <si>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</si>
  <si>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</si>
  <si>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</si>
  <si>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</si>
  <si>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</si>
  <si>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</si>
  <si>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</si>
  <si>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</si>
  <si>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</si>
  <si>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</si>
  <si>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</si>
  <si>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</si>
  <si>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</si>
  <si>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</si>
  <si>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</si>
  <si>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</si>
  <si>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</si>
  <si>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</si>
  <si>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</si>
  <si>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</si>
  <si>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</si>
  <si>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</si>
  <si>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</si>
  <si>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</si>
  <si>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</si>
  <si>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</si>
  <si>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</si>
  <si>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</si>
  <si>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</si>
  <si>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</si>
  <si>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</si>
  <si>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</si>
  <si>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</si>
  <si>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</si>
  <si>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</si>
  <si>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</si>
  <si>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</si>
  <si>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</si>
  <si>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</si>
  <si>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</si>
  <si>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</si>
  <si>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</si>
  <si>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</si>
  <si>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</si>
  <si>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</si>
  <si>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</si>
  <si>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</si>
  <si>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</si>
  <si>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</si>
  <si>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</si>
  <si>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</si>
  <si>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</si>
  <si>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</si>
  <si>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</si>
  <si>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</si>
  <si>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</si>
  <si>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</si>
  <si>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</si>
  <si>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</si>
  <si>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</si>
  <si>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</si>
  <si>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</si>
  <si>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</si>
  <si>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</si>
  <si>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</si>
  <si>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</si>
  <si>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</si>
  <si>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</si>
  <si>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</si>
  <si>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</si>
  <si>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</si>
  <si>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</si>
  <si>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</si>
  <si>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</si>
  <si>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</si>
  <si>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</si>
  <si>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</si>
  <si>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</si>
  <si>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</si>
  <si>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</si>
  <si>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</si>
  <si>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</si>
  <si>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</si>
  <si>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</si>
  <si>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</si>
  <si>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</si>
  <si>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</si>
  <si>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</si>
  <si>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</si>
  <si>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</si>
  <si>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</si>
  <si>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</si>
  <si>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</si>
  <si>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</si>
  <si>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</si>
  <si>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</si>
  <si>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</si>
  <si>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</si>
  <si>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</si>
  <si>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</si>
  <si>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</si>
  <si>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</si>
  <si>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</si>
  <si>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</si>
  <si>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</si>
  <si>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</si>
  <si>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</si>
  <si>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</si>
  <si>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</si>
  <si>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</si>
  <si>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</si>
  <si>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</si>
  <si>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</si>
  <si>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</si>
  <si>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</si>
  <si>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</si>
  <si>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</si>
  <si>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</si>
  <si>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</si>
  <si>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</si>
  <si>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</si>
  <si>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</si>
  <si>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</si>
  <si>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</si>
  <si>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</si>
  <si>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</si>
  <si>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</si>
  <si>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</si>
  <si>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</si>
  <si>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</si>
  <si>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</si>
  <si>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</si>
  <si>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</si>
  <si>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</si>
  <si>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</si>
  <si>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</si>
  <si>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</si>
  <si>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</si>
  <si>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</si>
  <si>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</si>
  <si>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</si>
  <si>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</si>
  <si>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</si>
  <si>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</si>
  <si>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</si>
  <si>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</si>
  <si>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</si>
  <si>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</si>
  <si>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</si>
  <si>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</si>
  <si>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</si>
  <si>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</si>
  <si>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</si>
  <si>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</si>
  <si>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</si>
  <si>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</si>
  <si>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</si>
  <si>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</si>
  <si>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</si>
  <si>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</si>
  <si>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</si>
  <si>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</si>
  <si>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</si>
  <si>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</si>
  <si>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</si>
  <si>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</si>
  <si>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</si>
  <si>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</si>
  <si>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</si>
  <si>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</si>
  <si>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</si>
  <si>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</si>
  <si>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</si>
  <si>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</si>
  <si>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</si>
  <si>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</si>
  <si>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</si>
  <si>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</si>
  <si>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</si>
  <si>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</si>
  <si>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</si>
  <si>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</si>
  <si>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</si>
  <si>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</si>
  <si>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</si>
  <si>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</si>
  <si>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</si>
  <si>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</si>
  <si>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</si>
  <si>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</si>
  <si>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</si>
  <si>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</si>
  <si>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</si>
  <si>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</si>
  <si>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</si>
  <si>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</si>
  <si>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</si>
  <si>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</si>
  <si>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</si>
  <si>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</si>
  <si>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</si>
  <si>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</si>
  <si>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</si>
  <si>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</si>
  <si>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</si>
  <si>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</si>
  <si>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</si>
  <si>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</si>
  <si>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</si>
  <si>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</si>
  <si>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</si>
  <si>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</si>
  <si>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</si>
  <si>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</si>
  <si>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</si>
  <si>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</si>
  <si>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</si>
  <si>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</si>
  <si>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</si>
  <si>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</si>
  <si>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</si>
  <si>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</si>
  <si>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</si>
  <si>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</si>
  <si>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</si>
  <si>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</si>
  <si>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</si>
  <si>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</si>
  <si>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</si>
  <si>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</si>
  <si>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</si>
  <si>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</si>
  <si>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</si>
  <si>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</si>
  <si>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</si>
  <si>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</si>
  <si>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</si>
  <si>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</si>
  <si>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</si>
  <si>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</si>
  <si>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</si>
  <si>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</si>
  <si>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</si>
  <si>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</si>
  <si>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</si>
  <si>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</si>
  <si>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</si>
  <si>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</si>
  <si>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</si>
  <si>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</si>
  <si>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</si>
  <si>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</si>
  <si>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</si>
  <si>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</si>
  <si>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</si>
  <si>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</si>
  <si>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</si>
  <si>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</si>
  <si>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</si>
  <si>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</si>
  <si>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</si>
  <si>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</si>
  <si>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</si>
  <si>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</si>
  <si>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</si>
  <si>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</si>
  <si>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</si>
  <si>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</si>
  <si>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</si>
  <si>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</si>
  <si>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</si>
  <si>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</si>
  <si>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</si>
  <si>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</si>
  <si>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</si>
  <si>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</si>
  <si>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</si>
  <si>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</si>
  <si>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</si>
  <si>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</si>
  <si>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</si>
  <si>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</si>
  <si>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</si>
  <si>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</si>
  <si>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</si>
  <si>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</si>
  <si>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</si>
  <si>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</si>
  <si>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</si>
  <si>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</si>
  <si>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</si>
  <si>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</si>
  <si>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</si>
  <si>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</si>
  <si>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</si>
  <si>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</si>
  <si>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</si>
  <si>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</si>
  <si>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</si>
  <si>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</si>
  <si>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</si>
  <si>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</si>
  <si>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</si>
  <si>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</si>
  <si>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</si>
  <si>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</si>
  <si>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</si>
  <si>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</si>
  <si>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</si>
  <si>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</si>
  <si>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</si>
  <si>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</si>
  <si>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</si>
  <si>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</si>
  <si>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</si>
  <si>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</si>
  <si>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</si>
  <si>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</si>
  <si>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</si>
  <si>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</si>
  <si>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</si>
  <si>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</si>
  <si>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</si>
  <si>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</si>
  <si>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</si>
  <si>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</si>
  <si>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</si>
  <si>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</si>
  <si>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</si>
  <si>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</si>
  <si>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</si>
  <si>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</si>
  <si>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</si>
  <si>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</si>
  <si>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</si>
  <si>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</si>
  <si>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</si>
  <si>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</si>
  <si>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</si>
  <si>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</si>
  <si>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</si>
  <si>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</si>
  <si>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</si>
  <si>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</si>
  <si>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</si>
  <si>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</si>
  <si>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</si>
  <si>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</si>
  <si>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</si>
  <si>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</si>
  <si>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</si>
  <si>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</si>
  <si>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</si>
  <si>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</si>
  <si>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</si>
  <si>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</si>
  <si>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</si>
  <si>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</si>
  <si>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</si>
  <si>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</si>
  <si>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</si>
  <si>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</si>
  <si>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</si>
  <si>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</si>
  <si>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</si>
  <si>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</si>
  <si>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</si>
  <si>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</si>
  <si>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</si>
  <si>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</si>
  <si>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</si>
  <si>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</si>
  <si>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</si>
  <si>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</si>
  <si>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</si>
  <si>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</si>
  <si>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</si>
  <si>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</si>
  <si>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</si>
  <si>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</si>
  <si>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</si>
  <si>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</si>
  <si>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</si>
  <si>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</si>
  <si>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</si>
  <si>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</si>
  <si>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</si>
  <si>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</si>
  <si>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</si>
  <si>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</si>
  <si>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</si>
  <si>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</si>
  <si>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</si>
  <si>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</si>
  <si>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</si>
  <si>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</si>
  <si>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</si>
  <si>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</si>
  <si>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</si>
  <si>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</si>
  <si>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</si>
  <si>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</si>
  <si>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</si>
  <si>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</si>
  <si>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</si>
  <si>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</si>
  <si>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</si>
  <si>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</si>
  <si>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</si>
  <si>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</si>
  <si>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</si>
  <si>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</si>
  <si>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</si>
  <si>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</si>
  <si>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</si>
  <si>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</si>
  <si>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</si>
  <si>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</si>
  <si>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</si>
  <si>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</si>
  <si>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</si>
  <si>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</si>
  <si>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</si>
  <si>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</si>
  <si>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</si>
  <si>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</si>
  <si>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</si>
  <si>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</si>
  <si>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</si>
  <si>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</si>
  <si>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</si>
  <si>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</si>
  <si>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</si>
  <si>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</si>
  <si>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</si>
  <si>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</si>
  <si>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</si>
  <si>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</si>
  <si>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</si>
  <si>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</si>
  <si>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</si>
  <si>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</si>
  <si>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</si>
  <si>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</si>
  <si>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</si>
  <si>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</si>
  <si>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</si>
  <si>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</si>
  <si>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</si>
  <si>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</si>
  <si>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</si>
  <si>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</si>
  <si>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</si>
  <si>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</si>
  <si>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</si>
  <si>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</si>
  <si>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</si>
  <si>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</si>
  <si>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</si>
  <si>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</si>
  <si>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</si>
  <si>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</si>
  <si>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</si>
  <si>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</si>
  <si>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</si>
  <si>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</si>
  <si>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</si>
  <si>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</si>
  <si>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</si>
  <si>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</si>
  <si>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</si>
  <si>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</si>
  <si>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</si>
  <si>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</si>
  <si>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</si>
  <si>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</si>
  <si>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</si>
  <si>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</si>
  <si>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</si>
  <si>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</si>
  <si>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</si>
  <si>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</si>
  <si>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</si>
  <si>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</si>
  <si>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</si>
  <si>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</si>
  <si>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</si>
  <si>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</si>
  <si>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</si>
  <si>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</si>
  <si>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</si>
  <si>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</si>
  <si>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</si>
  <si>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</si>
  <si>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</si>
  <si>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</si>
  <si>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</si>
  <si>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</si>
  <si>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</si>
  <si>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</si>
  <si>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</si>
  <si>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</si>
  <si>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</si>
  <si>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</si>
  <si>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</si>
  <si>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</si>
  <si>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</si>
  <si>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</si>
  <si>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</si>
  <si>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</si>
  <si>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</si>
  <si>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</si>
  <si>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</si>
  <si>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</si>
  <si>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</si>
  <si>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</si>
  <si>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</si>
  <si>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</si>
  <si>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</si>
  <si>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</si>
  <si>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</si>
  <si>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</si>
  <si>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</si>
  <si>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</si>
  <si>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</si>
  <si>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</si>
  <si>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</si>
  <si>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</si>
  <si>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</si>
  <si>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</si>
  <si>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</si>
  <si>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</si>
  <si>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</si>
  <si>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</si>
  <si>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</si>
  <si>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</si>
  <si>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</si>
  <si>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</si>
  <si>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</si>
  <si>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</si>
  <si>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</si>
  <si>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</si>
  <si>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</si>
  <si>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</si>
  <si>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</si>
  <si>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</si>
  <si>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</si>
  <si>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</si>
  <si>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</si>
  <si>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</si>
  <si>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</si>
  <si>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</si>
  <si>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</si>
  <si>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</si>
  <si>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</si>
  <si>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</si>
  <si>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</si>
  <si>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</si>
  <si>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</si>
  <si>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</si>
  <si>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</si>
  <si>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</si>
  <si>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</si>
  <si>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</si>
  <si>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</si>
  <si>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</si>
  <si>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</si>
  <si>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</si>
  <si>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</si>
  <si>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</si>
  <si>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</si>
  <si>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</si>
  <si>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</si>
  <si>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</si>
  <si>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</si>
  <si>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</si>
  <si>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</si>
  <si>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</si>
  <si>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</si>
  <si>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</si>
  <si>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</si>
  <si>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</si>
  <si>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</si>
  <si>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</si>
  <si>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</si>
  <si>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</si>
  <si>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</si>
  <si>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</si>
  <si>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</si>
  <si>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</si>
  <si>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</si>
  <si>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</si>
  <si>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</si>
  <si>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</si>
  <si>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</si>
  <si>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</si>
  <si>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</si>
  <si>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</si>
  <si>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</si>
  <si>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</si>
  <si>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</si>
  <si>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</si>
  <si>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</si>
  <si>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</si>
  <si>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</si>
  <si>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</si>
  <si>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</si>
  <si>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</si>
  <si>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</si>
  <si>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</si>
  <si>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</si>
  <si>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</si>
  <si>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</si>
  <si>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</si>
  <si>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</si>
  <si>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</si>
  <si>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</si>
  <si>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</si>
  <si>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</si>
  <si>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</si>
  <si>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</si>
  <si>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</si>
  <si>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</si>
  <si>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</si>
  <si>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</si>
  <si>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</si>
  <si>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</si>
  <si>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</si>
  <si>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</si>
  <si>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</si>
  <si>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</si>
  <si>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</si>
  <si>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</si>
  <si>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</si>
  <si>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</si>
  <si>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</si>
  <si>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</si>
  <si>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</si>
  <si>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</si>
  <si>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</si>
  <si>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</si>
  <si>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</si>
  <si>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</si>
  <si>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</si>
  <si>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</si>
  <si>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</si>
  <si>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</si>
  <si>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</si>
  <si>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</si>
  <si>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</si>
  <si>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</si>
  <si>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</si>
  <si>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</si>
  <si>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</si>
  <si>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</si>
  <si>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</si>
  <si>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</si>
  <si>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</si>
  <si>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</si>
  <si>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</si>
  <si>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</si>
  <si>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</si>
  <si>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</si>
  <si>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</si>
  <si>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</si>
  <si>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</si>
  <si>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</si>
  <si>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</si>
  <si>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</si>
  <si>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</si>
  <si>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</si>
  <si>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</si>
  <si>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</si>
  <si>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</si>
  <si>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</si>
  <si>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</si>
  <si>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</si>
  <si>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</si>
  <si>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</si>
  <si>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</si>
  <si>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</si>
  <si>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</si>
  <si>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</si>
  <si>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</si>
  <si>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</si>
  <si>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</si>
  <si>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</si>
  <si>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</si>
  <si>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</si>
  <si>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</si>
  <si>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</si>
  <si>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</si>
  <si>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</si>
  <si>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</si>
  <si>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</si>
  <si>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</si>
  <si>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</si>
  <si>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</si>
  <si>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</si>
  <si>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</si>
  <si>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</si>
  <si>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</si>
  <si>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</si>
  <si>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</si>
  <si>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</si>
  <si>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</si>
  <si>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</si>
  <si>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</si>
  <si>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</si>
  <si>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</si>
  <si>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</si>
  <si>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</si>
  <si>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</si>
  <si>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</si>
  <si>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</si>
  <si>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</si>
  <si>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</si>
  <si>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</si>
  <si>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</si>
  <si>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</si>
  <si>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</si>
  <si>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</si>
  <si>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</si>
  <si>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</si>
  <si>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</si>
  <si>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</si>
  <si>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</si>
  <si>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</si>
  <si>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</si>
  <si>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</si>
  <si>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</si>
  <si>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</si>
  <si>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</si>
  <si>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</si>
  <si>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</si>
  <si>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</si>
  <si>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</si>
  <si>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</si>
  <si>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</si>
  <si>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</si>
  <si>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</si>
  <si>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</si>
  <si>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</si>
  <si>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</si>
  <si>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</si>
  <si>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</si>
  <si>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</si>
  <si>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</si>
  <si>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</si>
  <si>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</si>
  <si>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</si>
  <si>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</si>
  <si>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</si>
  <si>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</si>
  <si>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</si>
  <si>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</si>
  <si>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</si>
  <si>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</si>
  <si>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</si>
  <si>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</si>
  <si>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</si>
  <si>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</si>
  <si>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</si>
  <si>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</si>
  <si>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</si>
  <si>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</si>
  <si>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</si>
  <si>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</si>
  <si>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</si>
  <si>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</si>
  <si>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</si>
  <si>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</si>
  <si>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</si>
  <si>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</si>
  <si>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</si>
  <si>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</si>
  <si>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</si>
  <si>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</si>
  <si>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</si>
  <si>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</si>
  <si>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</si>
  <si>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</si>
  <si>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</si>
  <si>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</si>
  <si>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</si>
  <si>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</si>
  <si>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</si>
  <si>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</si>
  <si>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</si>
  <si>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</si>
  <si>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</si>
  <si>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</si>
  <si>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</si>
  <si>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</si>
  <si>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</si>
  <si>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</si>
  <si>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</si>
  <si>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</si>
  <si>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</si>
  <si>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</si>
  <si>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</si>
  <si>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</si>
  <si>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</si>
  <si>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</si>
  <si>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</si>
  <si>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</si>
  <si>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</si>
  <si>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</si>
  <si>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</si>
  <si>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</si>
  <si>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</si>
  <si>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</si>
  <si>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</si>
  <si>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</si>
  <si>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</si>
  <si>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</si>
  <si>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</si>
  <si>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</si>
  <si>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</si>
  <si>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</si>
  <si>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</si>
  <si>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</si>
  <si>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</si>
  <si>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</si>
  <si>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</si>
  <si>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</si>
  <si>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</si>
  <si>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</si>
  <si>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</si>
  <si>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</si>
  <si>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</si>
  <si>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</si>
  <si>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</si>
  <si>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</si>
  <si>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</si>
  <si>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</si>
  <si>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</si>
  <si>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</si>
  <si>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</si>
  <si>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</si>
  <si>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</si>
  <si>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</si>
  <si>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</si>
  <si>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</si>
  <si>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</si>
  <si>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</si>
  <si>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</si>
  <si>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</si>
  <si>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</si>
  <si>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</si>
  <si>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</si>
  <si>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</si>
  <si>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</si>
  <si>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</si>
  <si>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</si>
  <si>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</si>
  <si>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</si>
  <si>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</si>
  <si>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</si>
  <si>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</si>
  <si>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</si>
  <si>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</si>
  <si>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</si>
  <si>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</si>
  <si>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</si>
  <si>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</si>
  <si>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</si>
  <si>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</si>
  <si>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</si>
  <si>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</si>
  <si>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</si>
  <si>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</si>
  <si>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</si>
  <si>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</si>
  <si>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</si>
  <si>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</si>
  <si>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</si>
  <si>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</si>
  <si>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</si>
  <si>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</si>
  <si>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</si>
  <si>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</si>
  <si>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</si>
  <si>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</si>
  <si>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</si>
  <si>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</si>
  <si>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</si>
  <si>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</si>
  <si>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</si>
  <si>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</si>
  <si>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</si>
  <si>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</si>
  <si>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</si>
  <si>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</si>
  <si>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</si>
  <si>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</si>
  <si>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</si>
  <si>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</si>
  <si>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</si>
  <si>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</si>
  <si>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</si>
  <si>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</si>
  <si>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</si>
  <si>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</si>
  <si>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</si>
  <si>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</si>
  <si>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</si>
  <si>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</si>
  <si>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</si>
  <si>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</si>
  <si>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</si>
  <si>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</si>
  <si>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</si>
  <si>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</si>
  <si>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</si>
  <si>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</si>
  <si>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</si>
  <si>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</si>
  <si>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</si>
  <si>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</si>
  <si>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</si>
  <si>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</si>
  <si>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</si>
  <si>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</si>
  <si>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</si>
  <si>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</si>
  <si>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</si>
  <si>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</si>
  <si>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</si>
  <si>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</si>
  <si>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</si>
  <si>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</si>
  <si>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</si>
  <si>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</si>
  <si>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</si>
  <si>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</si>
  <si>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</si>
  <si>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</si>
  <si>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</si>
  <si>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</si>
  <si>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</si>
  <si>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</si>
  <si>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</si>
  <si>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</si>
  <si>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</si>
  <si>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</si>
  <si>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</si>
  <si>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</si>
  <si>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</si>
  <si>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</si>
  <si>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</si>
  <si>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</si>
  <si>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</si>
  <si>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</si>
  <si>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</si>
  <si>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</si>
  <si>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</si>
  <si>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</si>
  <si>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</si>
  <si>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</si>
  <si>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</si>
  <si>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</si>
  <si>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</si>
  <si>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</si>
  <si>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</si>
  <si>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</si>
  <si>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</si>
  <si>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</si>
  <si>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</si>
  <si>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</si>
  <si>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</si>
  <si>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</si>
  <si>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</si>
  <si>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</si>
  <si>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</si>
  <si>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</si>
  <si>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</si>
  <si>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</si>
  <si>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</si>
  <si>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</si>
  <si>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</si>
  <si>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</si>
  <si>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</si>
  <si>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</si>
  <si>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</si>
  <si>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</si>
  <si>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</si>
  <si>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</si>
  <si>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</si>
  <si>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</si>
  <si>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</si>
  <si>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</si>
  <si>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</si>
  <si>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</si>
  <si>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</si>
  <si>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</si>
  <si>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</si>
  <si>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</si>
  <si>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</si>
  <si>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</si>
  <si>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</si>
  <si>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</si>
  <si>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</si>
  <si>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</si>
  <si>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</si>
  <si>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</si>
  <si>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</si>
  <si>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</si>
  <si>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</si>
  <si>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</si>
  <si>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</si>
  <si>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</si>
  <si>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</si>
  <si>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</si>
  <si>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</si>
  <si>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</si>
  <si>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</si>
  <si>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</si>
  <si>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</si>
  <si>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</si>
  <si>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</si>
  <si>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</si>
  <si>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</si>
  <si>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</si>
  <si>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</si>
  <si>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</si>
  <si>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</si>
  <si>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</si>
  <si>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</si>
  <si>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</si>
  <si>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</si>
  <si>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</si>
  <si>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</si>
  <si>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</si>
  <si>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</si>
  <si>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</si>
  <si>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</si>
  <si>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</si>
  <si>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</si>
  <si>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</si>
  <si>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</si>
  <si>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</si>
  <si>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</si>
  <si>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</si>
  <si>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</si>
  <si>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</si>
  <si>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</si>
  <si>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</si>
  <si>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</si>
  <si>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</si>
  <si>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</si>
  <si>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</si>
  <si>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</si>
  <si>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</si>
  <si>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</si>
  <si>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</si>
  <si>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</si>
  <si>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</si>
  <si>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</si>
  <si>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</si>
  <si>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</si>
  <si>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</si>
  <si>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</si>
  <si>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</si>
  <si>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</si>
  <si>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</si>
  <si>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</si>
  <si>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</si>
  <si>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</si>
  <si>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</si>
  <si>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</si>
  <si>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</si>
  <si>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</si>
  <si>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</si>
  <si>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</si>
  <si>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</si>
  <si>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</si>
  <si>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</si>
  <si>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</si>
  <si>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</si>
  <si>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</si>
  <si>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</si>
  <si>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</si>
  <si>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</si>
  <si>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</si>
  <si>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</si>
  <si>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</si>
  <si>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</si>
  <si>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</si>
  <si>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</si>
  <si>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</si>
  <si>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</si>
  <si>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</si>
  <si>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</si>
  <si>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</si>
  <si>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</si>
  <si>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</si>
  <si>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</si>
  <si>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</si>
  <si>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</si>
  <si>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</si>
  <si>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</si>
  <si>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</si>
  <si>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</si>
  <si>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</si>
  <si>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</si>
  <si>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</si>
  <si>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</si>
  <si>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</si>
  <si>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</si>
  <si>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</si>
  <si>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</si>
  <si>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</si>
  <si>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</si>
  <si>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</si>
  <si>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</si>
  <si>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</si>
  <si>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</si>
  <si>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</si>
  <si>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</si>
  <si>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</si>
  <si>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</si>
  <si>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</si>
  <si>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</si>
  <si>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</si>
  <si>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</si>
  <si>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</si>
  <si>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</si>
  <si>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</si>
  <si>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</si>
  <si>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</si>
  <si>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</si>
  <si>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</si>
  <si>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</si>
  <si>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</si>
  <si>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</si>
  <si>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</si>
  <si>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</si>
  <si>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</si>
  <si>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</si>
  <si>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</si>
  <si>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</si>
  <si>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</si>
  <si>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</si>
  <si>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</si>
  <si>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</si>
  <si>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</si>
  <si>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</si>
  <si>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</si>
  <si>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</si>
  <si>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</si>
  <si>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</si>
  <si>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</si>
  <si>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</si>
  <si>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</si>
  <si>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</si>
  <si>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</si>
  <si>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</si>
  <si>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</si>
  <si>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</si>
  <si>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</si>
  <si>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</si>
  <si>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</si>
  <si>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</si>
  <si>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</si>
  <si>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</si>
  <si>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</si>
  <si>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</si>
  <si>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</si>
  <si>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</si>
  <si>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</si>
  <si>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</si>
  <si>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</si>
  <si>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</si>
  <si>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</si>
  <si>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</si>
  <si>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</si>
  <si>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</si>
  <si>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</si>
  <si>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</si>
  <si>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</si>
  <si>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</si>
  <si>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</si>
  <si>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</si>
  <si>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</si>
  <si>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</si>
  <si>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</si>
  <si>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</si>
  <si>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</si>
  <si>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</si>
  <si>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</si>
  <si>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</si>
  <si>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</si>
  <si>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</si>
  <si>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</si>
  <si>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</si>
  <si>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</si>
  <si>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</si>
  <si>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</si>
  <si>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</si>
  <si>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</si>
  <si>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</si>
  <si>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</si>
  <si>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</si>
  <si>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</si>
  <si>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</si>
  <si>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</si>
  <si>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</si>
  <si>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</si>
  <si>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</si>
  <si>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</si>
  <si>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</si>
  <si>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</si>
  <si>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</si>
  <si>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</si>
  <si>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</si>
  <si>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</si>
  <si>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</si>
  <si>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</si>
  <si>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</si>
  <si>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</si>
  <si>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</si>
  <si>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</si>
  <si>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</si>
  <si>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</si>
  <si>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</si>
  <si>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</si>
  <si>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</si>
  <si>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</si>
  <si>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</si>
  <si>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</si>
  <si>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</si>
  <si>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</si>
  <si>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</si>
  <si>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</si>
  <si>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</si>
  <si>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</si>
  <si>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</si>
  <si>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</si>
  <si>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</si>
  <si>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</si>
  <si>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</si>
  <si>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</si>
  <si>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</si>
  <si>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</si>
  <si>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</si>
  <si>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</si>
  <si>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</si>
  <si>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</si>
  <si>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</si>
  <si>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</si>
  <si>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</si>
  <si>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</si>
  <si>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</si>
  <si>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</si>
  <si>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</si>
  <si>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</si>
  <si>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</si>
  <si>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</si>
  <si>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</si>
  <si>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</si>
  <si>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</si>
  <si>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</si>
  <si>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</si>
  <si>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</si>
  <si>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</si>
  <si>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</si>
  <si>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</si>
  <si>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</si>
  <si>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</si>
  <si>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</si>
  <si>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</si>
  <si>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</si>
  <si>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</si>
  <si>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</si>
  <si>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</si>
  <si>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</si>
  <si>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</si>
  <si>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</si>
  <si>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</si>
  <si>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</si>
  <si>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</si>
  <si>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</si>
  <si>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</si>
  <si>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</si>
  <si>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</si>
  <si>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</si>
  <si>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</si>
  <si>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</si>
  <si>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</si>
  <si>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</si>
  <si>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</si>
  <si>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</si>
  <si>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</si>
  <si>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</si>
  <si>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</si>
  <si>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</si>
  <si>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</si>
  <si>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</si>
  <si>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</si>
  <si>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</si>
  <si>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</si>
  <si>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</si>
  <si>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</si>
  <si>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</si>
  <si>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</si>
  <si>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</si>
  <si>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</si>
  <si>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</si>
  <si>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</si>
  <si>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</si>
  <si>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</si>
  <si>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</si>
  <si>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</si>
  <si>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</si>
  <si>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</si>
  <si>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</si>
  <si>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</si>
  <si>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</si>
  <si>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</si>
  <si>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</si>
  <si>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</si>
  <si>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</si>
  <si>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</si>
  <si>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</si>
  <si>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</si>
  <si>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</si>
  <si>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</si>
  <si>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</si>
  <si>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</si>
  <si>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</si>
  <si>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</si>
  <si>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</si>
  <si>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</si>
  <si>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</si>
  <si>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</si>
  <si>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</si>
  <si>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</si>
  <si>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</si>
  <si>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</si>
  <si>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</si>
  <si>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</si>
  <si>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</si>
  <si>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</si>
  <si>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</si>
  <si>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</si>
  <si>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</si>
  <si>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</si>
  <si>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</si>
  <si>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</si>
  <si>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</si>
  <si>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</si>
  <si>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</si>
  <si>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</si>
  <si>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</si>
  <si>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</si>
  <si>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</si>
  <si>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</si>
  <si>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</si>
  <si>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</si>
  <si>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</si>
  <si>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</si>
  <si>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</si>
  <si>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</si>
  <si>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</si>
  <si>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</si>
  <si>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</si>
  <si>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</si>
  <si>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</si>
  <si>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</si>
  <si>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</si>
  <si>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</si>
  <si>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</si>
  <si>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</si>
  <si>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</si>
  <si>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</si>
  <si>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</si>
  <si>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</si>
  <si>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</si>
  <si>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</si>
  <si>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</si>
  <si>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</si>
  <si>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</si>
  <si>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</si>
  <si>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</si>
  <si>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</si>
  <si>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</si>
  <si>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</si>
  <si>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</si>
  <si>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</si>
  <si>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</si>
  <si>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</si>
  <si>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</si>
  <si>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</si>
  <si>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</si>
  <si>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</si>
  <si>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</si>
  <si>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</si>
  <si>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</si>
  <si>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</si>
  <si>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</si>
  <si>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</si>
  <si>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</si>
  <si>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</si>
  <si>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</si>
  <si>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</si>
  <si>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</si>
  <si>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</si>
  <si>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</si>
  <si>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</si>
  <si>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</si>
  <si>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</si>
  <si>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</si>
  <si>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</si>
  <si>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</si>
  <si>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</si>
  <si>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</si>
  <si>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</si>
  <si>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</si>
  <si>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</si>
  <si>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</si>
  <si>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</si>
  <si>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</si>
  <si>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</si>
  <si>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</si>
  <si>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</si>
  <si>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</si>
  <si>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</si>
  <si>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</si>
  <si>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</si>
  <si>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</si>
  <si>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</si>
  <si>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</si>
  <si>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</si>
  <si>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</si>
  <si>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</si>
  <si>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</si>
  <si>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</si>
  <si>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</si>
  <si>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</si>
  <si>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</si>
  <si>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</si>
  <si>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</si>
  <si>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</si>
  <si>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</si>
  <si>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</si>
  <si>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</si>
  <si>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</si>
  <si>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</si>
  <si>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</si>
  <si>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</si>
  <si>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</si>
  <si>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</si>
  <si>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</si>
  <si>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</si>
  <si>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</si>
  <si>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</si>
  <si>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</si>
  <si>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</si>
  <si>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</si>
  <si>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</si>
  <si>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</si>
  <si>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</si>
  <si>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</si>
  <si>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</si>
  <si>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</si>
  <si>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</si>
  <si>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</si>
  <si>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</si>
  <si>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</si>
  <si>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</si>
  <si>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</si>
  <si>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</si>
  <si>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</si>
  <si>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</si>
  <si>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</si>
  <si>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</si>
  <si>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</si>
  <si>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</si>
  <si>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</si>
  <si>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</si>
  <si>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</si>
  <si>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</si>
  <si>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</si>
  <si>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</si>
  <si>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</si>
  <si>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</si>
  <si>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</si>
  <si>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</si>
  <si>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</si>
  <si>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</si>
  <si>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</si>
  <si>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</si>
  <si>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</si>
  <si>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</si>
  <si>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</si>
  <si>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</si>
  <si>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</si>
  <si>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</si>
  <si>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</si>
  <si>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</si>
  <si>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</si>
  <si>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</si>
  <si>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</si>
  <si>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</si>
  <si>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</si>
  <si>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</si>
  <si>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</si>
  <si>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</si>
  <si>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</si>
  <si>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</si>
  <si>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</si>
  <si>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</si>
  <si>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</si>
  <si>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</si>
  <si>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</si>
  <si>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</si>
  <si>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</si>
  <si>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</si>
  <si>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</si>
  <si>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</si>
  <si>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</si>
  <si>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</si>
  <si>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</si>
  <si>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</si>
  <si>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</si>
  <si>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</si>
  <si>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</si>
  <si>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</si>
  <si>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</si>
  <si>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</si>
  <si>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</si>
  <si>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</si>
  <si>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</si>
  <si>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</si>
  <si>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</si>
  <si>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</si>
  <si>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</si>
  <si>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</si>
  <si>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</si>
  <si>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</si>
  <si>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</si>
  <si>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</si>
  <si>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</si>
  <si>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</si>
  <si>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</si>
  <si>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</si>
  <si>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</si>
  <si>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</si>
  <si>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</si>
  <si>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</si>
  <si>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</si>
  <si>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</si>
  <si>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</si>
  <si>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</si>
  <si>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</si>
  <si>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</si>
  <si>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</si>
  <si>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</si>
  <si>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</si>
  <si>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</si>
  <si>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</si>
  <si>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</si>
  <si>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</si>
  <si>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</si>
  <si>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</si>
  <si>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</si>
  <si>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</si>
  <si>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</si>
  <si>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</si>
  <si>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</si>
  <si>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</si>
  <si>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</si>
  <si>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</si>
  <si>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</si>
  <si>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</si>
  <si>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</si>
  <si>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</si>
  <si>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</si>
  <si>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</si>
  <si>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</si>
  <si>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</si>
  <si>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</si>
  <si>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</si>
  <si>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</si>
  <si>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</si>
  <si>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</si>
  <si>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</si>
  <si>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</si>
  <si>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</si>
  <si>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</si>
  <si>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</si>
  <si>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</si>
  <si>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</si>
  <si>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</si>
  <si>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</si>
  <si>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</si>
  <si>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</si>
  <si>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</si>
  <si>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</si>
  <si>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</si>
  <si>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</si>
  <si>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</si>
  <si>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</si>
  <si>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</si>
  <si>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</si>
  <si>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</si>
  <si>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</si>
  <si>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</si>
  <si>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</si>
  <si>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</si>
  <si>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</si>
  <si>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</si>
  <si>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</si>
  <si>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</si>
  <si>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</si>
  <si>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</si>
  <si>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</si>
  <si>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</si>
  <si>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</si>
  <si>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</si>
  <si>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</si>
  <si>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</si>
  <si>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</si>
  <si>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</si>
  <si>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</si>
  <si>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</si>
  <si>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</si>
  <si>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</si>
  <si>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</si>
  <si>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</si>
  <si>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</si>
  <si>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</si>
  <si>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</si>
  <si>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</si>
  <si>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</si>
  <si>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</si>
  <si>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</si>
  <si>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</si>
  <si>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</si>
  <si>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</si>
  <si>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</si>
  <si>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</si>
  <si>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</si>
  <si>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</si>
  <si>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</si>
  <si>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</si>
  <si>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</si>
  <si>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</si>
  <si>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</si>
  <si>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</si>
  <si>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</si>
  <si>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</si>
  <si>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</si>
  <si>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</si>
  <si>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</si>
  <si>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</si>
  <si>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</si>
  <si>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</si>
  <si>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</si>
  <si>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</si>
  <si>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</si>
  <si>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</si>
  <si>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</si>
  <si>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</si>
  <si>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</si>
  <si>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</si>
  <si>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</si>
  <si>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</si>
  <si>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</si>
  <si>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</si>
  <si>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</si>
  <si>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</si>
  <si>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</si>
  <si>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</si>
  <si>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</si>
  <si>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</si>
  <si>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</si>
  <si>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</si>
  <si>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</si>
  <si>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</si>
  <si>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</si>
  <si>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</si>
  <si>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</si>
  <si>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</si>
  <si>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</si>
  <si>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</si>
  <si>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</si>
  <si>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</si>
  <si>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</si>
  <si>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</si>
  <si>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</si>
  <si>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</si>
  <si>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</si>
  <si>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</si>
  <si>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</si>
  <si>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</si>
  <si>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</si>
  <si>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</si>
  <si>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</si>
  <si>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</si>
  <si>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</si>
  <si>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</si>
  <si>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</si>
  <si>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</si>
  <si>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</si>
  <si>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</si>
  <si>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</si>
  <si>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</si>
  <si>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</si>
  <si>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</si>
  <si>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</si>
  <si>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</si>
  <si>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</si>
  <si>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</si>
  <si>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</si>
  <si>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</si>
  <si>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</si>
  <si>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</si>
  <si>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</si>
  <si>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</si>
  <si>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</si>
  <si>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</si>
  <si>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</si>
  <si>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</si>
  <si>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</si>
  <si>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</si>
  <si>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</si>
  <si>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</si>
  <si>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</si>
  <si>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</si>
  <si>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</si>
  <si>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</si>
  <si>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</si>
  <si>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</si>
  <si>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</si>
  <si>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</si>
  <si>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</si>
  <si>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</si>
  <si>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</si>
  <si>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</si>
  <si>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</si>
  <si>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</si>
  <si>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</si>
  <si>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</si>
  <si>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</si>
  <si>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</si>
  <si>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</si>
  <si>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</si>
  <si>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</si>
  <si>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</si>
  <si>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</si>
  <si>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</si>
  <si>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</si>
  <si>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</si>
  <si>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</si>
  <si>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</si>
  <si>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</si>
  <si>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</si>
  <si>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</si>
  <si>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</si>
  <si>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</si>
  <si>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</si>
  <si>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</si>
  <si>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</si>
  <si>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</si>
  <si>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</si>
  <si>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</si>
  <si>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</si>
  <si>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</si>
  <si>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</si>
  <si>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</si>
  <si>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</si>
  <si>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</si>
  <si>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</si>
  <si>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</si>
  <si>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</si>
  <si>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</si>
  <si>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</si>
  <si>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</si>
  <si>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</si>
  <si>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</si>
  <si>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</si>
  <si>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</si>
  <si>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</si>
  <si>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</si>
  <si>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</si>
  <si>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</si>
  <si>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</si>
  <si>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</si>
  <si>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</si>
  <si>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</si>
  <si>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</si>
  <si>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</si>
  <si>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</si>
  <si>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</si>
  <si>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</si>
  <si>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</si>
  <si>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</si>
  <si>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</si>
  <si>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</si>
  <si>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</si>
  <si>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</si>
  <si>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</si>
  <si>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</si>
  <si>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</si>
  <si>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</si>
  <si>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</si>
  <si>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</si>
  <si>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</si>
  <si>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</si>
  <si>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</si>
  <si>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</si>
  <si>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</si>
  <si>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</si>
  <si>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</si>
  <si>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</si>
  <si>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</si>
  <si>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</si>
  <si>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</si>
  <si>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</si>
  <si>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</si>
  <si>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</si>
  <si>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</si>
  <si>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</si>
  <si>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</si>
  <si>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</si>
  <si>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</si>
  <si>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</si>
  <si>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</si>
  <si>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</si>
  <si>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</si>
  <si>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</si>
  <si>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</si>
  <si>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</si>
  <si>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</si>
  <si>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</si>
  <si>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</si>
  <si>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</si>
  <si>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</si>
  <si>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</si>
  <si>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</si>
  <si>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</si>
  <si>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</si>
  <si>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</si>
  <si>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</si>
  <si>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</si>
  <si>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</si>
  <si>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</si>
  <si>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</si>
  <si>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</si>
  <si>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</si>
  <si>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</si>
  <si>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</si>
  <si>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</si>
  <si>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</si>
  <si>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</si>
  <si>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</si>
  <si>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</si>
  <si>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</si>
  <si>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</si>
  <si>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</si>
  <si>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</si>
  <si>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</si>
  <si>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</si>
  <si>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</si>
  <si>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</si>
  <si>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</si>
  <si>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</si>
  <si>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</si>
  <si>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</si>
  <si>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</si>
  <si>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</si>
  <si>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</si>
  <si>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</si>
  <si>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</si>
  <si>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</si>
  <si>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</si>
  <si>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</si>
  <si>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</si>
  <si>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</si>
  <si>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</si>
  <si>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</si>
  <si>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</si>
  <si>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</si>
  <si>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</si>
  <si>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</si>
  <si>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</si>
  <si>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</si>
  <si>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</si>
  <si>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</si>
  <si>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</si>
  <si>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</si>
  <si>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</si>
  <si>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</si>
  <si>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</si>
  <si>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</si>
  <si>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</si>
  <si>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</si>
  <si>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</si>
  <si>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</si>
  <si>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</si>
  <si>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</si>
  <si>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</si>
  <si>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</si>
  <si>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</si>
  <si>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</si>
  <si>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</si>
  <si>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</si>
  <si>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</si>
  <si>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</si>
  <si>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</si>
  <si>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</si>
  <si>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</si>
  <si>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</si>
  <si>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</si>
  <si>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</si>
  <si>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</si>
  <si>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</si>
  <si>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</si>
  <si>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</si>
  <si>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</si>
  <si>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</si>
  <si>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</si>
  <si>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</si>
  <si>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</si>
  <si>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</si>
  <si>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</si>
  <si>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</si>
  <si>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</si>
  <si>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</si>
  <si>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</si>
  <si>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</si>
  <si>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</si>
  <si>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</si>
  <si>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</si>
  <si>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</si>
  <si>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</si>
  <si>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</si>
  <si>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</si>
  <si>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</si>
  <si>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</si>
  <si>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</si>
  <si>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</si>
  <si>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</si>
  <si>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</si>
  <si>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</si>
  <si>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</si>
  <si>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</si>
  <si>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</si>
  <si>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</si>
  <si>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</si>
  <si>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</si>
  <si>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</si>
  <si>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</si>
  <si>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</si>
  <si>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</si>
  <si>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</si>
  <si>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</si>
  <si>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</si>
  <si>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</si>
  <si>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</si>
  <si>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</si>
  <si>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</si>
  <si>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</si>
  <si>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</si>
  <si>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</si>
  <si>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</si>
  <si>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</si>
  <si>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</si>
  <si>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</si>
  <si>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</si>
  <si>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</si>
  <si>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</si>
  <si>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</si>
  <si>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</si>
  <si>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</si>
  <si>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</si>
  <si>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</si>
  <si>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</si>
  <si>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</si>
  <si>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</si>
  <si>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</si>
  <si>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</si>
  <si>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</si>
  <si>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</si>
  <si>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</si>
  <si>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</si>
  <si>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</si>
  <si>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</si>
  <si>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</si>
  <si>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</si>
  <si>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</si>
  <si>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</si>
  <si>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</si>
  <si>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</si>
  <si>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</si>
  <si>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</si>
  <si>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</si>
  <si>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</si>
  <si>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</si>
  <si>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</si>
  <si>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</si>
  <si>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</si>
  <si>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</si>
  <si>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</si>
  <si>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</si>
  <si>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</si>
  <si>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</si>
  <si>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</si>
  <si>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</si>
  <si>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</si>
  <si>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</si>
  <si>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</si>
  <si>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</si>
  <si>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</si>
  <si>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</si>
  <si>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</si>
  <si>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</si>
  <si>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</si>
  <si>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</si>
  <si>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</si>
  <si>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</si>
  <si>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</si>
  <si>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</si>
  <si>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</si>
  <si>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</si>
  <si>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</si>
  <si>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</si>
  <si>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</si>
  <si>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</si>
  <si>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</si>
  <si>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</si>
  <si>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</si>
  <si>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</si>
  <si>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</si>
  <si>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</si>
  <si>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</si>
  <si>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</si>
  <si>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</si>
  <si>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</si>
  <si>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</si>
  <si>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</si>
  <si>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</si>
  <si>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</si>
  <si>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</si>
  <si>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</si>
  <si>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</si>
  <si>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</si>
  <si>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</si>
  <si>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</si>
  <si>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</si>
  <si>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</si>
  <si>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</si>
  <si>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</si>
  <si>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</si>
  <si>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</si>
  <si>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</si>
  <si>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</si>
  <si>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</si>
  <si>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</si>
  <si>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</si>
  <si>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</si>
  <si>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</si>
  <si>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</si>
  <si>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</si>
  <si>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</si>
  <si>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</si>
  <si>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</si>
  <si>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</si>
  <si>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</si>
  <si>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</si>
  <si>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</si>
  <si>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</si>
  <si>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</si>
  <si>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</si>
  <si>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</si>
  <si>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</si>
  <si>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</si>
  <si>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</si>
  <si>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</si>
  <si>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</si>
  <si>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</si>
  <si>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</si>
  <si>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</si>
  <si>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</si>
  <si>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</si>
  <si>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</si>
  <si>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</si>
  <si>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</si>
  <si>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</si>
  <si>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</si>
  <si>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</si>
  <si>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</si>
  <si>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</si>
  <si>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</si>
  <si>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</si>
  <si>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</si>
  <si>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</si>
  <si>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</si>
  <si>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</si>
  <si>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</si>
  <si>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</si>
  <si>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</si>
  <si>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</si>
  <si>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</si>
  <si>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</si>
  <si>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</si>
  <si>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</si>
  <si>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</si>
  <si>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</si>
  <si>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</si>
  <si>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</si>
  <si>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</si>
  <si>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</si>
  <si>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</si>
  <si>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</si>
  <si>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</si>
  <si>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</si>
  <si>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</si>
  <si>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</si>
  <si>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</si>
  <si>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</si>
  <si>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</si>
  <si>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</si>
  <si>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</si>
  <si>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</si>
  <si>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</si>
  <si>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</si>
  <si>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</si>
  <si>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</si>
  <si>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</si>
  <si>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</si>
  <si>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</si>
  <si>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</si>
  <si>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</si>
  <si>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</si>
  <si>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</si>
  <si>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</si>
  <si>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</si>
  <si>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</si>
  <si>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</si>
  <si>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</si>
  <si>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</si>
  <si>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</si>
  <si>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</si>
  <si>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</si>
  <si>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</si>
  <si>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</si>
  <si>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</si>
  <si>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</si>
  <si>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</si>
  <si>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</si>
  <si>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</si>
  <si>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</si>
  <si>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</si>
  <si>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</si>
  <si>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</si>
  <si>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</si>
  <si>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</si>
  <si>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</si>
  <si>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</si>
  <si>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</si>
  <si>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</si>
  <si>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</si>
  <si>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</si>
  <si>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</si>
  <si>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</si>
  <si>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</si>
  <si>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</si>
  <si>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</si>
  <si>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</si>
  <si>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</si>
  <si>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</si>
  <si>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</si>
  <si>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</si>
  <si>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</si>
  <si>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</si>
  <si>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</si>
  <si>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</si>
  <si>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</si>
  <si>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</si>
  <si>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</si>
  <si>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</si>
  <si>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</si>
  <si>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</si>
  <si>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</si>
  <si>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</si>
  <si>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</si>
  <si>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</si>
  <si>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</si>
  <si>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</si>
  <si>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</si>
  <si>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</si>
  <si>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</si>
  <si>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</si>
  <si>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</si>
  <si>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</si>
  <si>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</si>
  <si>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</si>
  <si>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</si>
  <si>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</si>
  <si>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</si>
  <si>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</si>
  <si>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</si>
  <si>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</si>
  <si>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</si>
  <si>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</si>
  <si>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</si>
  <si>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</si>
  <si>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</si>
  <si>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</si>
  <si>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</si>
  <si>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</si>
  <si>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</si>
  <si>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</si>
  <si>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</si>
  <si>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</si>
  <si>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</si>
  <si>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</si>
  <si>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</si>
  <si>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</si>
  <si>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</si>
  <si>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</si>
  <si>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</si>
  <si>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</si>
  <si>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</si>
  <si>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</si>
  <si>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</si>
  <si>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</si>
  <si>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</si>
  <si>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</si>
  <si>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</si>
  <si>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</si>
  <si>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</si>
  <si>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</si>
  <si>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</si>
  <si>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</si>
  <si>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</si>
  <si>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</si>
  <si>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</si>
  <si>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</si>
  <si>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</si>
  <si>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</si>
  <si>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</si>
  <si>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</si>
  <si>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</si>
  <si>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</si>
  <si>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</si>
  <si>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</si>
  <si>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</si>
  <si>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</si>
  <si>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</si>
  <si>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</si>
  <si>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</si>
  <si>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</si>
  <si>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</si>
  <si>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</si>
  <si>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</si>
  <si>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</si>
  <si>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</si>
  <si>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</si>
  <si>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</si>
  <si>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</si>
  <si>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</si>
  <si>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</si>
  <si>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</si>
  <si>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</si>
  <si>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</si>
  <si>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</si>
  <si>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</si>
  <si>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</si>
  <si>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</si>
  <si>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</si>
  <si>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</si>
  <si>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</si>
  <si>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</si>
  <si>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</si>
  <si>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</si>
  <si>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</si>
  <si>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</si>
  <si>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</si>
  <si>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</si>
  <si>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</si>
  <si>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</si>
  <si>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</si>
  <si>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</si>
  <si>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</si>
  <si>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</si>
  <si>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</si>
  <si>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</si>
  <si>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</si>
  <si>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</si>
  <si>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</si>
  <si>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</si>
  <si>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</si>
  <si>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</si>
  <si>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</si>
  <si>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</si>
  <si>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</si>
  <si>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</si>
  <si>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</si>
  <si>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</si>
  <si>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</si>
  <si>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</si>
  <si>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</si>
  <si>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</si>
  <si>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</si>
  <si>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</si>
  <si>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</si>
  <si>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</si>
  <si>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</si>
  <si>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</si>
  <si>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</si>
  <si>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</si>
  <si>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</si>
  <si>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</si>
  <si>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</si>
  <si>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</si>
  <si>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</si>
  <si>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</si>
  <si>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</si>
  <si>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</si>
  <si>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</si>
  <si>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</si>
  <si>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</si>
  <si>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</si>
  <si>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</si>
  <si>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</si>
  <si>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</si>
  <si>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</si>
  <si>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</si>
  <si>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</si>
  <si>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</si>
  <si>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</si>
  <si>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</si>
  <si>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</si>
  <si>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</si>
  <si>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</si>
  <si>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</si>
  <si>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</si>
  <si>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</si>
  <si>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</si>
  <si>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</si>
  <si>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</si>
  <si>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</si>
  <si>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</si>
  <si>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</si>
  <si>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</si>
  <si>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</si>
  <si>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</si>
  <si>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</si>
  <si>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</si>
  <si>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</si>
  <si>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</si>
  <si>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</si>
  <si>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</si>
  <si>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</si>
  <si>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</si>
  <si>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</si>
  <si>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</si>
  <si>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</si>
  <si>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</si>
  <si>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</si>
  <si>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</si>
  <si>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</si>
  <si>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</si>
  <si>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</si>
  <si>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</si>
  <si>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</si>
  <si>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</si>
  <si>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</si>
  <si>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</si>
  <si>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</si>
  <si>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</si>
  <si>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</si>
  <si>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</si>
  <si>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</si>
  <si>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</si>
  <si>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</si>
  <si>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</si>
  <si>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</si>
  <si>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</si>
  <si>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</si>
  <si>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</si>
  <si>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</si>
  <si>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</si>
  <si>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</si>
  <si>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</si>
  <si>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</si>
  <si>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</si>
  <si>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</si>
  <si>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</si>
  <si>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</si>
  <si>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</si>
  <si>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</si>
  <si>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</si>
  <si>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</si>
  <si>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</si>
  <si>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</si>
  <si>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</si>
  <si>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</si>
  <si>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</si>
  <si>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</si>
  <si>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</si>
  <si>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</si>
  <si>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</si>
  <si>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</si>
  <si>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</si>
  <si>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</si>
  <si>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</si>
  <si>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</si>
  <si>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</si>
  <si>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</si>
  <si>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</si>
  <si>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</si>
  <si>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</si>
  <si>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</si>
  <si>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</si>
  <si>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</si>
  <si>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</si>
  <si>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</si>
  <si>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</si>
  <si>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</si>
  <si>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</si>
  <si>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</si>
  <si>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</si>
  <si>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</si>
  <si>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</si>
  <si>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</si>
  <si>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</si>
  <si>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</si>
  <si>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</si>
  <si>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</si>
  <si>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</si>
  <si>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</si>
  <si>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</si>
  <si>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</si>
  <si>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</si>
  <si>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</si>
  <si>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</si>
  <si>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</si>
  <si>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</si>
  <si>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</si>
  <si>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</si>
  <si>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</si>
  <si>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</si>
  <si>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</si>
  <si>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</si>
  <si>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</si>
  <si>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</si>
  <si>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</si>
  <si>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</si>
  <si>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</si>
  <si>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</si>
  <si>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</si>
  <si>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</si>
  <si>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</si>
  <si>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</si>
  <si>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</si>
  <si>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</si>
  <si>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</si>
  <si>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</si>
  <si>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</si>
  <si>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</si>
  <si>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</si>
  <si>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</si>
  <si>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</si>
  <si>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</si>
  <si>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</si>
  <si>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</si>
  <si>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</si>
  <si>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</si>
  <si>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</si>
  <si>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</si>
  <si>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</si>
  <si>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</si>
  <si>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</si>
  <si>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</si>
  <si>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</si>
  <si>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</si>
  <si>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</si>
  <si>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</si>
  <si>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</si>
  <si>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</si>
  <si>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</si>
  <si>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</si>
  <si>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</si>
  <si>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</si>
  <si>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</si>
  <si>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</si>
  <si>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</si>
  <si>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</si>
  <si>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</si>
  <si>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</si>
  <si>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</si>
  <si>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</si>
  <si>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</si>
  <si>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</si>
  <si>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</si>
  <si>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</si>
  <si>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</si>
  <si>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</si>
  <si>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</si>
  <si>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</si>
  <si>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</si>
  <si>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</si>
  <si>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</si>
  <si>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</si>
  <si>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</si>
  <si>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</si>
  <si>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</si>
  <si>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</si>
  <si>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</si>
  <si>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</si>
  <si>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</si>
  <si>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</si>
  <si>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</si>
  <si>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</si>
  <si>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</si>
  <si>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</si>
  <si>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</si>
  <si>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</si>
  <si>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</si>
  <si>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</si>
  <si>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</si>
  <si>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</si>
  <si>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</si>
  <si>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</si>
  <si>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</si>
  <si>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</si>
  <si>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</si>
  <si>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</si>
  <si>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</si>
  <si>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</si>
  <si>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</si>
  <si>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</si>
  <si>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</si>
  <si>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</si>
  <si>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</si>
  <si>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</si>
  <si>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</si>
  <si>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</si>
  <si>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</si>
  <si>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</si>
  <si>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</si>
  <si>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</si>
  <si>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</si>
  <si>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</si>
  <si>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</si>
  <si>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</si>
  <si>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</si>
  <si>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</si>
  <si>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</si>
  <si>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</si>
  <si>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</si>
  <si>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</si>
  <si>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</si>
  <si>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</si>
  <si>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</si>
  <si>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</si>
  <si>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</si>
  <si>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</si>
  <si>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</si>
  <si>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</si>
  <si>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</si>
  <si>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</si>
  <si>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</si>
  <si>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</si>
  <si>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</si>
  <si>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</si>
  <si>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</si>
  <si>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</si>
  <si>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</si>
  <si>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</si>
  <si>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</si>
  <si>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</si>
  <si>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</si>
  <si>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</si>
  <si>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</si>
  <si>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</si>
  <si>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</si>
  <si>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</si>
  <si>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</si>
  <si>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</si>
  <si>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</si>
  <si>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</si>
  <si>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</si>
  <si>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</si>
  <si>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</si>
  <si>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</si>
  <si>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</si>
  <si>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</si>
  <si>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</si>
  <si>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</si>
  <si>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</si>
  <si>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</si>
  <si>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</si>
  <si>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</si>
  <si>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</si>
  <si>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</si>
  <si>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</si>
  <si>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</si>
  <si>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</si>
  <si>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</si>
  <si>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</si>
  <si>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</si>
  <si>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</si>
  <si>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</si>
  <si>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</si>
  <si>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</si>
  <si>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</si>
  <si>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</si>
  <si>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</si>
  <si>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</si>
  <si>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</si>
  <si>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</si>
  <si>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</si>
  <si>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</si>
  <si>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</si>
  <si>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</si>
  <si>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</si>
  <si>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</si>
  <si>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</si>
  <si>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</si>
  <si>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</si>
  <si>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</si>
  <si>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</si>
  <si>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</si>
  <si>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</si>
  <si>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</si>
  <si>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</si>
  <si>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</si>
  <si>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</si>
  <si>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</si>
  <si>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</si>
  <si>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</si>
  <si>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</si>
  <si>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</si>
  <si>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</si>
  <si>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</si>
  <si>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</si>
  <si>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</si>
  <si>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</si>
  <si>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</si>
  <si>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</si>
  <si>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</si>
  <si>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</si>
  <si>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</si>
  <si>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</si>
  <si>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</si>
  <si>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</si>
  <si>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</si>
  <si>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</si>
  <si>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</si>
  <si>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</si>
  <si>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</si>
  <si>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</si>
  <si>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</si>
  <si>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</si>
  <si>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</si>
  <si>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</si>
  <si>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</si>
  <si>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</si>
  <si>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</si>
  <si>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</si>
  <si>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</si>
  <si>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</si>
  <si>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</si>
  <si>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</si>
  <si>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</si>
  <si>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</si>
  <si>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</si>
  <si>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</si>
  <si>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</si>
  <si>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</si>
  <si>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</si>
  <si>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</si>
  <si>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</si>
  <si>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</si>
  <si>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</si>
  <si>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</si>
  <si>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</si>
  <si>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</si>
  <si>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</si>
  <si>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</si>
  <si>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</si>
  <si>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</si>
  <si>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</si>
  <si>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</si>
  <si>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</si>
  <si>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</si>
  <si>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</si>
  <si>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</si>
  <si>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</si>
  <si>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</si>
  <si>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</si>
  <si>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</si>
  <si>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</si>
  <si>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</si>
  <si>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</si>
  <si>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</si>
  <si>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</si>
  <si>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</si>
  <si>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</si>
  <si>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</si>
  <si>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</si>
  <si>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</si>
  <si>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</si>
  <si>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</si>
  <si>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</si>
  <si>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</si>
  <si>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</si>
  <si>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</si>
  <si>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</si>
  <si>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</si>
  <si>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</si>
  <si>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</si>
  <si>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</si>
  <si>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</si>
  <si>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</si>
  <si>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</si>
  <si>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</si>
  <si>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</si>
  <si>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</si>
  <si>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</si>
  <si>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</si>
  <si>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</si>
  <si>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</si>
  <si>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</si>
  <si>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</si>
  <si>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</si>
  <si>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</si>
  <si>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</si>
  <si>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</si>
  <si>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</si>
  <si>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</si>
  <si>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</si>
  <si>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</si>
  <si>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</si>
  <si>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</si>
  <si>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</si>
  <si>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</si>
  <si>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</si>
  <si>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</si>
  <si>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</si>
  <si>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</si>
  <si>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</si>
  <si>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</si>
  <si>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</si>
  <si>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</si>
  <si>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</si>
  <si>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</si>
  <si>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</si>
  <si>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</si>
  <si>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</si>
  <si>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</si>
  <si>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</si>
  <si>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</si>
  <si>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</si>
  <si>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</si>
  <si>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</si>
  <si>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</si>
  <si>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</si>
  <si>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</si>
  <si>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</si>
  <si>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</si>
  <si>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</si>
  <si>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</si>
  <si>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</si>
  <si>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</si>
  <si>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</si>
  <si>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</si>
  <si>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</si>
  <si>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</si>
  <si>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</si>
  <si>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</si>
  <si>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</si>
  <si>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</si>
  <si>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</si>
  <si>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</si>
  <si>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</si>
  <si>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</si>
  <si>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</si>
  <si>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</si>
  <si>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</si>
  <si>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</si>
  <si>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</si>
  <si>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</si>
  <si>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</si>
  <si>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</si>
  <si>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</si>
  <si>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</si>
  <si>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</si>
  <si>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</si>
  <si>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</si>
  <si>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</si>
  <si>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</si>
  <si>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</si>
  <si>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</si>
  <si>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</si>
  <si>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</si>
  <si>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</si>
  <si>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</si>
  <si>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</si>
  <si>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</si>
  <si>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</si>
  <si>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</si>
  <si>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</si>
  <si>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</si>
  <si>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</si>
  <si>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</si>
  <si>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</si>
  <si>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</si>
  <si>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</si>
  <si>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</si>
  <si>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</si>
  <si>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</si>
  <si>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</si>
  <si>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</si>
  <si>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</si>
  <si>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</si>
  <si>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</si>
  <si>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</si>
  <si>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</si>
  <si>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</si>
  <si>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</si>
  <si>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</si>
  <si>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</si>
  <si>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</si>
  <si>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</si>
  <si>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</si>
  <si>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</si>
  <si>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</si>
  <si>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</si>
  <si>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</si>
  <si>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</si>
  <si>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</si>
  <si>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</si>
  <si>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</si>
  <si>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</si>
  <si>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</si>
  <si>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</si>
  <si>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</si>
  <si>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</si>
  <si>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</si>
  <si>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</si>
  <si>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</si>
  <si>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</si>
  <si>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</si>
  <si>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</si>
  <si>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</si>
  <si>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</si>
  <si>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</si>
  <si>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</si>
  <si>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</si>
  <si>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</si>
  <si>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</si>
  <si>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</si>
  <si>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</si>
  <si>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</si>
  <si>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</si>
  <si>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</si>
  <si>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</si>
  <si>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</si>
  <si>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</si>
  <si>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</si>
  <si>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</si>
  <si>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</si>
  <si>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</si>
  <si>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</si>
  <si>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</si>
  <si>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</si>
  <si>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</si>
  <si>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</si>
  <si>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</si>
  <si>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</si>
  <si>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</si>
  <si>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</si>
  <si>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</si>
  <si>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</si>
  <si>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</si>
  <si>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</si>
  <si>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</si>
  <si>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</si>
  <si>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</si>
  <si>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</si>
  <si>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</si>
  <si>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</si>
  <si>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</si>
  <si>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</si>
  <si>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</si>
  <si>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</si>
  <si>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</si>
  <si>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</si>
  <si>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</si>
  <si>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</si>
  <si>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</si>
  <si>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</si>
  <si>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</si>
  <si>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</si>
  <si>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</si>
  <si>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</si>
  <si>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</si>
  <si>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</si>
  <si>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</si>
  <si>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</si>
  <si>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</si>
  <si>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</si>
  <si>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</si>
  <si>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</si>
  <si>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</si>
  <si>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</si>
  <si>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</si>
  <si>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</si>
  <si>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</si>
  <si>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</si>
  <si>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</si>
  <si>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</si>
  <si>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</si>
  <si>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</si>
  <si>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</si>
  <si>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</si>
  <si>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</si>
  <si>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</si>
  <si>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</si>
  <si>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</si>
  <si>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</si>
  <si>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</si>
  <si>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</si>
  <si>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</si>
  <si>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</si>
  <si>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</si>
  <si>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</si>
  <si>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</si>
  <si>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</si>
  <si>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</si>
  <si>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</si>
  <si>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</si>
  <si>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</si>
  <si>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</si>
  <si>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</si>
  <si>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</si>
  <si>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</si>
  <si>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</si>
  <si>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</si>
  <si>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</si>
  <si>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</si>
  <si>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</si>
  <si>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</si>
  <si>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</si>
  <si>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</si>
  <si>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</si>
  <si>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</si>
  <si>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</si>
  <si>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</si>
  <si>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</si>
  <si>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</si>
  <si>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</si>
  <si>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</si>
  <si>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</si>
  <si>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</si>
  <si>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</si>
  <si>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</si>
  <si>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</si>
  <si>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</si>
  <si>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</si>
  <si>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</si>
  <si>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</si>
  <si>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</si>
  <si>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</si>
  <si>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</si>
  <si>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</si>
  <si>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</si>
  <si>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</si>
  <si>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</si>
  <si>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</si>
  <si>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</si>
  <si>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</si>
  <si>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</si>
  <si>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</si>
  <si>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</si>
  <si>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</si>
  <si>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</si>
  <si>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</si>
  <si>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</si>
  <si>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</si>
  <si>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</si>
  <si>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</si>
  <si>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</si>
  <si>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</si>
  <si>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</si>
  <si>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</si>
  <si>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</si>
  <si>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</si>
  <si>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</si>
  <si>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</si>
  <si>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</si>
  <si>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</si>
  <si>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</si>
  <si>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</si>
  <si>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</si>
  <si>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</si>
  <si>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</si>
  <si>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</si>
  <si>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</si>
  <si>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</si>
  <si>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</si>
  <si>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</si>
  <si>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</si>
  <si>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</si>
  <si>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</si>
  <si>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</si>
  <si>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</si>
  <si>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</si>
  <si>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</si>
  <si>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</si>
  <si>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</si>
  <si>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</si>
  <si>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</si>
  <si>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</si>
  <si>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</si>
  <si>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</si>
  <si>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</si>
  <si>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</si>
  <si>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</si>
  <si>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</si>
  <si>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</si>
  <si>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</si>
  <si>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</si>
  <si>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</si>
  <si>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</si>
  <si>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</si>
  <si>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</si>
  <si>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</si>
  <si>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</si>
  <si>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</si>
  <si>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</si>
  <si>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</si>
  <si>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</si>
  <si>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</si>
  <si>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</si>
  <si>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</si>
  <si>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</si>
  <si>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</si>
  <si>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</si>
  <si>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</si>
  <si>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</si>
  <si>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</si>
  <si>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</si>
  <si>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</si>
  <si>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</si>
  <si>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</si>
  <si>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</si>
  <si>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</si>
  <si>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</si>
  <si>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</si>
  <si>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</si>
  <si>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</si>
  <si>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</si>
  <si>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</si>
  <si>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</si>
  <si>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</si>
  <si>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</si>
  <si>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</si>
  <si>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</si>
  <si>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</si>
  <si>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</si>
  <si>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</si>
  <si>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</si>
  <si>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</si>
  <si>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</si>
  <si>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</si>
  <si>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</si>
  <si>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</si>
  <si>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</si>
  <si>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</si>
  <si>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</si>
  <si>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</si>
  <si>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</si>
  <si>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</si>
  <si>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</si>
  <si>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</si>
  <si>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</si>
  <si>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</si>
  <si>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</si>
  <si>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</si>
  <si>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</si>
  <si>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</si>
  <si>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</si>
  <si>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</si>
  <si>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</si>
  <si>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</si>
  <si>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</si>
  <si>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</si>
  <si>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</si>
  <si>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</si>
  <si>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</si>
  <si>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</si>
  <si>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</si>
  <si>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</si>
  <si>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</si>
  <si>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</si>
  <si>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</si>
  <si>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</si>
  <si>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</si>
  <si>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</si>
  <si>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</si>
  <si>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</si>
  <si>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</si>
  <si>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</si>
  <si>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</si>
  <si>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</si>
  <si>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</si>
  <si>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</si>
  <si>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</si>
  <si>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</si>
  <si>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</si>
  <si>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</si>
  <si>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</si>
  <si>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</si>
  <si>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</si>
  <si>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</si>
  <si>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</si>
  <si>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</si>
  <si>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</si>
  <si>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</si>
  <si>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</si>
  <si>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</si>
  <si>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</si>
  <si>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</si>
  <si>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</si>
  <si>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</si>
  <si>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</si>
  <si>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</si>
  <si>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</si>
  <si>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</si>
  <si>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</si>
  <si>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</si>
  <si>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</si>
  <si>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</si>
  <si>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</si>
  <si>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</si>
  <si>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</si>
  <si>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</si>
  <si>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</si>
  <si>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</si>
  <si>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</si>
  <si>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</si>
  <si>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</si>
  <si>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</si>
  <si>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</si>
  <si>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</si>
  <si>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</si>
  <si>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</si>
  <si>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</si>
  <si>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</si>
  <si>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</si>
  <si>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</si>
  <si>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</si>
  <si>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</si>
  <si>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</si>
  <si>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</si>
  <si>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</si>
  <si>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</si>
  <si>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</si>
  <si>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</si>
  <si>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</si>
  <si>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</si>
  <si>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</si>
  <si>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</si>
  <si>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</si>
  <si>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</si>
  <si>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</si>
  <si>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</si>
  <si>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</si>
  <si>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</si>
  <si>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</si>
  <si>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</si>
  <si>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</si>
  <si>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</si>
  <si>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</si>
  <si>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</si>
  <si>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</si>
  <si>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</si>
  <si>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</si>
  <si>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</si>
  <si>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</si>
  <si>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</si>
  <si>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</si>
  <si>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</si>
  <si>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</si>
  <si>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</si>
  <si>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</si>
  <si>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</si>
  <si>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</si>
  <si>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</si>
  <si>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</si>
  <si>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</si>
  <si>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</si>
  <si>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</si>
  <si>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</si>
  <si>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</si>
  <si>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</si>
  <si>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</si>
  <si>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</si>
  <si>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</si>
  <si>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</si>
  <si>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</si>
  <si>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</si>
  <si>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</si>
  <si>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</si>
  <si>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</si>
  <si>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</si>
  <si>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</si>
  <si>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</si>
  <si>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</si>
  <si>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</si>
  <si>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</si>
  <si>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</si>
  <si>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</si>
  <si>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</si>
  <si>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</si>
  <si>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</si>
  <si>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</si>
  <si>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</si>
  <si>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</si>
  <si>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</si>
  <si>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</si>
  <si>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</si>
  <si>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</si>
  <si>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</si>
  <si>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</si>
  <si>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</si>
  <si>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</si>
  <si>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</si>
  <si>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</si>
  <si>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</si>
  <si>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</si>
  <si>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</si>
  <si>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</si>
  <si>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</si>
  <si>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</si>
  <si>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</si>
  <si>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</si>
  <si>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</si>
  <si>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</si>
  <si>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</si>
  <si>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</si>
  <si>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</si>
  <si>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</si>
  <si>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</si>
  <si>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</si>
  <si>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</si>
  <si>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</si>
  <si>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</si>
  <si>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</si>
  <si>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</si>
  <si>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</si>
  <si>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</si>
  <si>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</si>
  <si>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</si>
  <si>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</si>
  <si>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</si>
  <si>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</si>
  <si>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</si>
  <si>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</si>
  <si>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</si>
  <si>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</si>
  <si>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</si>
  <si>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</si>
  <si>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</si>
  <si>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</si>
  <si>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</si>
  <si>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</si>
  <si>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</si>
  <si>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</si>
  <si>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</si>
  <si>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</si>
  <si>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</si>
  <si>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</si>
  <si>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</si>
  <si>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</si>
  <si>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</si>
  <si>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</si>
  <si>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</si>
  <si>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</si>
  <si>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</si>
  <si>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</si>
  <si>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</si>
  <si>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</si>
  <si>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</si>
  <si>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</si>
  <si>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</si>
  <si>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</si>
  <si>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</si>
  <si>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</si>
  <si>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</si>
  <si>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</si>
  <si>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</si>
  <si>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</si>
  <si>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</si>
  <si>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</si>
  <si>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</si>
  <si>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</si>
  <si>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</si>
  <si>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</si>
  <si>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</si>
  <si>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</si>
  <si>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</si>
  <si>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</si>
  <si>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</si>
  <si>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</si>
  <si>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</si>
  <si>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</si>
  <si>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</si>
  <si>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</si>
  <si>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</si>
  <si>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</si>
  <si>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</si>
  <si>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</si>
  <si>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</si>
  <si>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</si>
  <si>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</si>
  <si>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</si>
  <si>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</si>
  <si>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</si>
  <si>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</si>
  <si>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</si>
  <si>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</si>
  <si>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</si>
  <si>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</si>
  <si>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</si>
  <si>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</si>
  <si>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</si>
  <si>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</si>
  <si>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</si>
  <si>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</si>
  <si>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</si>
  <si>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</si>
  <si>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</si>
  <si>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</si>
  <si>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</si>
  <si>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</si>
  <si>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</si>
  <si>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</si>
  <si>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</si>
  <si>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</si>
  <si>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</si>
  <si>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</si>
  <si>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</si>
  <si>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</si>
  <si>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</si>
  <si>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</si>
  <si>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</si>
  <si>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</si>
  <si>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</si>
  <si>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</si>
  <si>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</si>
  <si>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</si>
  <si>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</si>
  <si>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</si>
  <si>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</si>
  <si>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</si>
  <si>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</si>
  <si>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</si>
  <si>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</si>
  <si>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</si>
  <si>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</si>
  <si>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</si>
  <si>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</si>
  <si>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</si>
  <si>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</si>
  <si>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</si>
  <si>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</si>
  <si>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</si>
  <si>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</si>
  <si>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</si>
  <si>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</si>
  <si>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</si>
  <si>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</si>
  <si>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</si>
  <si>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</si>
  <si>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</si>
  <si>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</si>
  <si>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</si>
  <si>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</si>
  <si>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</si>
  <si>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</si>
  <si>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</si>
  <si>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</si>
  <si>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</si>
  <si>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</si>
  <si>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</si>
  <si>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</si>
  <si>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</si>
  <si>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</si>
  <si>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</si>
  <si>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</si>
  <si>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</si>
  <si>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</si>
  <si>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</si>
  <si>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</si>
  <si>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</si>
  <si>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</si>
  <si>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</si>
  <si>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</si>
  <si>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</si>
  <si>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</si>
  <si>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</si>
  <si>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</si>
  <si>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</si>
  <si>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</si>
  <si>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</si>
  <si>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</si>
  <si>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</si>
  <si>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</si>
  <si>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</si>
  <si>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</si>
  <si>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</si>
  <si>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</si>
  <si>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</si>
  <si>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</si>
  <si>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</si>
  <si>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</si>
  <si>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</si>
  <si>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</si>
  <si>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</si>
  <si>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</si>
  <si>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</si>
  <si>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</si>
  <si>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</si>
  <si>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</si>
  <si>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</si>
  <si>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</si>
  <si>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</si>
  <si>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</si>
  <si>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</si>
  <si>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</si>
  <si>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</si>
  <si>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</si>
  <si>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</si>
  <si>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</si>
  <si>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</si>
  <si>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</si>
  <si>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</si>
  <si>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</si>
  <si>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</si>
  <si>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</si>
  <si>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</si>
  <si>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</si>
  <si>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</si>
  <si>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</si>
  <si>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</si>
  <si>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</si>
  <si>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</si>
  <si>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</si>
  <si>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</si>
  <si>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</si>
  <si>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</si>
  <si>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</si>
  <si>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</si>
  <si>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</si>
  <si>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</si>
  <si>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</si>
  <si>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</si>
  <si>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</si>
  <si>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</si>
  <si>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</si>
  <si>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</si>
  <si>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</si>
  <si>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</si>
  <si>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</si>
  <si>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</si>
  <si>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</si>
  <si>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</si>
  <si>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</si>
  <si>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</si>
  <si>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</si>
  <si>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</si>
  <si>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</si>
  <si>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</si>
  <si>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</si>
  <si>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</si>
  <si>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</si>
  <si>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</si>
  <si>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</si>
  <si>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</si>
  <si>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</si>
  <si>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</si>
  <si>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</si>
  <si>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</si>
  <si>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</si>
  <si>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</si>
  <si>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</si>
  <si>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</si>
  <si>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</si>
  <si>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</si>
  <si>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</si>
  <si>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</si>
  <si>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</si>
  <si>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</si>
  <si>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</si>
  <si>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</si>
  <si>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</si>
  <si>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</si>
  <si>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</si>
  <si>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</si>
  <si>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</si>
  <si>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</si>
  <si>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</si>
  <si>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</si>
  <si>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</si>
  <si>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</si>
  <si>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</si>
  <si>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</si>
  <si>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</si>
  <si>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</si>
  <si>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</si>
  <si>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</si>
  <si>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</si>
  <si>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</si>
  <si>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</si>
  <si>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</si>
  <si>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</si>
  <si>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</si>
  <si>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</si>
  <si>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</si>
  <si>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</si>
  <si>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</si>
  <si>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</si>
  <si>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</si>
  <si>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</si>
  <si>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</si>
  <si>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</si>
  <si>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</si>
  <si>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</si>
  <si>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</si>
  <si>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</si>
  <si>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</si>
  <si>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</si>
  <si>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</si>
  <si>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</si>
  <si>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</si>
  <si>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</si>
  <si>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</si>
  <si>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</si>
  <si>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</si>
  <si>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</si>
  <si>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</si>
  <si>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</si>
  <si>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</si>
  <si>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</si>
  <si>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</si>
  <si>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</si>
  <si>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</si>
  <si>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</si>
  <si>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</si>
  <si>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</si>
  <si>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</si>
  <si>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</si>
  <si>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</si>
  <si>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</si>
  <si>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</si>
  <si>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</si>
  <si>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</si>
  <si>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</si>
  <si>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</si>
  <si>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</si>
  <si>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</si>
  <si>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</si>
  <si>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</si>
  <si>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</si>
  <si>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</si>
  <si>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</si>
  <si>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</si>
  <si>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</si>
  <si>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</si>
  <si>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</si>
  <si>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</si>
  <si>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</si>
  <si>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</si>
  <si>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</si>
  <si>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</si>
  <si>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</si>
  <si>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</si>
  <si>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</si>
  <si>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</si>
  <si>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</si>
  <si>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</si>
  <si>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</si>
  <si>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</si>
  <si>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</si>
  <si>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</si>
  <si>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</si>
  <si>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</si>
  <si>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</si>
  <si>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</si>
  <si>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</si>
  <si>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</si>
  <si>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</si>
  <si>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</si>
  <si>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</si>
  <si>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</si>
  <si>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</si>
  <si>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</si>
  <si>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</si>
  <si>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</si>
  <si>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</si>
  <si>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</si>
  <si>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</si>
  <si>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</si>
  <si>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</si>
  <si>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</si>
  <si>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</si>
  <si>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</si>
  <si>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</si>
  <si>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</si>
  <si>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</si>
  <si>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</si>
  <si>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</si>
  <si>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</si>
  <si>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</si>
  <si>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</si>
  <si>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</si>
  <si>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</si>
  <si>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</si>
  <si>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</si>
  <si>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</si>
  <si>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</si>
  <si>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</si>
  <si>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</si>
  <si>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</si>
  <si>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</si>
  <si>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</si>
  <si>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</si>
  <si>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</si>
  <si>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</si>
  <si>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</si>
  <si>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</si>
  <si>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</si>
  <si>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</si>
  <si>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</si>
  <si>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</si>
  <si>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</si>
  <si>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</si>
  <si>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</si>
  <si>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</si>
  <si>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</si>
  <si>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</si>
  <si>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</si>
  <si>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</si>
  <si>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</si>
  <si>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</si>
  <si>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</si>
  <si>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</si>
  <si>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</si>
  <si>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</si>
  <si>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</si>
  <si>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</si>
  <si>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</si>
  <si>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</si>
  <si>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</si>
  <si>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</si>
  <si>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</si>
  <si>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</si>
  <si>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</si>
  <si>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</si>
  <si>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</si>
  <si>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</si>
  <si>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</si>
  <si>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</si>
  <si>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</si>
  <si>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</si>
  <si>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</si>
  <si>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</si>
  <si>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</si>
  <si>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</si>
  <si>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</si>
  <si>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</si>
  <si>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</si>
  <si>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</si>
  <si>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</si>
  <si>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</si>
  <si>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</si>
  <si>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</si>
  <si>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</si>
  <si>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</si>
  <si>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</si>
  <si>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</si>
  <si>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</si>
  <si>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</si>
  <si>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</si>
  <si>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</si>
  <si>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</si>
  <si>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</si>
  <si>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</si>
  <si>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</si>
  <si>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</si>
  <si>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</si>
  <si>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</si>
  <si>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</si>
  <si>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</si>
  <si>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</si>
  <si>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</si>
  <si>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</si>
  <si>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</si>
  <si>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</si>
  <si>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</si>
  <si>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</si>
  <si>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</si>
  <si>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</si>
  <si>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</si>
  <si>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</si>
  <si>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</si>
  <si>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</si>
  <si>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</si>
  <si>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</si>
  <si>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</si>
  <si>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</si>
  <si>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</si>
  <si>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</si>
  <si>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</si>
  <si>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</si>
  <si>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</si>
  <si>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</si>
  <si>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</si>
  <si>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</si>
  <si>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</si>
  <si>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</si>
  <si>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</si>
  <si>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</si>
  <si>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</si>
  <si>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</si>
  <si>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</si>
  <si>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</si>
  <si>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</si>
  <si>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</si>
  <si>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</si>
  <si>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</si>
  <si>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</si>
  <si>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</si>
  <si>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</si>
  <si>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</si>
  <si>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</si>
  <si>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</si>
  <si>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</si>
  <si>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</si>
  <si>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</si>
  <si>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</si>
  <si>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</si>
  <si>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</si>
  <si>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</si>
  <si>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</si>
  <si>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</si>
  <si>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</si>
  <si>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</si>
  <si>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</si>
  <si>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</si>
  <si>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</si>
  <si>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</si>
  <si>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</si>
  <si>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</si>
  <si>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</si>
  <si>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</si>
  <si>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</si>
  <si>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</si>
  <si>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</si>
  <si>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</si>
  <si>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</si>
  <si>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</si>
  <si>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</si>
  <si>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</si>
  <si>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</si>
  <si>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</si>
  <si>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</si>
  <si>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</si>
  <si>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</si>
  <si>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</si>
  <si>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</si>
  <si>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</si>
  <si>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</si>
  <si>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</si>
  <si>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</si>
  <si>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</si>
  <si>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</si>
  <si>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</si>
  <si>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</si>
  <si>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</si>
  <si>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</si>
  <si>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</si>
  <si>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</si>
  <si>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</si>
  <si>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</si>
  <si>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</si>
  <si>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</si>
  <si>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</si>
  <si>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</si>
  <si>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</si>
  <si>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</si>
  <si>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</si>
  <si>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</si>
  <si>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</si>
  <si>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</si>
  <si>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</si>
  <si>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</si>
  <si>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</si>
  <si>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</si>
  <si>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</si>
  <si>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</si>
  <si>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</si>
  <si>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</si>
  <si>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</si>
  <si>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</si>
  <si>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</si>
  <si>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</si>
  <si>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</si>
  <si>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</si>
  <si>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</si>
  <si>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</si>
  <si>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</si>
  <si>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</si>
  <si>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</si>
  <si>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</si>
  <si>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</si>
  <si>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</si>
  <si>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</si>
  <si>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</si>
  <si>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</si>
  <si>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</si>
  <si>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</si>
  <si>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</si>
  <si>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</si>
  <si>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</si>
  <si>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</si>
  <si>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</si>
  <si>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</si>
  <si>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</si>
  <si>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</si>
  <si>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</si>
  <si>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</si>
  <si>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</si>
  <si>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</si>
  <si>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</si>
  <si>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</si>
  <si>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</si>
  <si>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</si>
  <si>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</si>
  <si>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</si>
  <si>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</si>
  <si>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</si>
  <si>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</si>
  <si>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</si>
  <si>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</si>
  <si>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</si>
  <si>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</si>
  <si>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</si>
  <si>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</si>
  <si>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</si>
  <si>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</si>
  <si>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</si>
  <si>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</si>
  <si>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</si>
  <si>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</si>
  <si>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</si>
  <si>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</si>
  <si>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</si>
  <si>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</si>
  <si>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</si>
  <si>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</si>
  <si>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</si>
  <si>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</si>
  <si>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</si>
  <si>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</si>
  <si>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</si>
  <si>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</si>
  <si>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</si>
  <si>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</si>
  <si>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</si>
  <si>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</si>
  <si>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</si>
  <si>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</si>
  <si>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</si>
  <si>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</si>
  <si>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</si>
  <si>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</si>
  <si>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</si>
  <si>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</si>
  <si>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</si>
  <si>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</si>
  <si>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</si>
  <si>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</si>
  <si>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</si>
  <si>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</si>
  <si>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</si>
  <si>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</si>
  <si>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</si>
  <si>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</si>
  <si>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</si>
  <si>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</si>
  <si>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</si>
  <si>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</si>
  <si>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</si>
  <si>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</si>
  <si>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</si>
  <si>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</si>
  <si>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</si>
  <si>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</si>
  <si>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</si>
  <si>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</si>
  <si>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</si>
  <si>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</si>
  <si>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</si>
  <si>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</si>
  <si>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</si>
  <si>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</si>
  <si>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</si>
  <si>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</si>
  <si>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</si>
  <si>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</si>
  <si>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</si>
  <si>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</si>
  <si>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</si>
  <si>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</si>
  <si>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</si>
  <si>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</si>
  <si>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</si>
  <si>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</si>
  <si>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</si>
  <si>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</si>
  <si>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</si>
  <si>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</si>
  <si>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</si>
  <si>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</si>
  <si>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</si>
  <si>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</si>
  <si>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</si>
  <si>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</si>
  <si>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</si>
  <si>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</si>
  <si>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</si>
  <si>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</si>
  <si>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</si>
  <si>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</si>
  <si>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</si>
  <si>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</si>
  <si>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</si>
  <si>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</si>
  <si>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</si>
  <si>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</si>
  <si>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</si>
  <si>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</si>
  <si>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</si>
  <si>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</si>
  <si>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</si>
  <si>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</si>
  <si>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</si>
  <si>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</si>
  <si>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</si>
  <si>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</si>
  <si>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</si>
  <si>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</si>
  <si>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</si>
  <si>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</si>
  <si>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</si>
  <si>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</si>
  <si>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</si>
  <si>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</si>
  <si>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</si>
  <si>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</si>
  <si>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</si>
  <si>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</si>
  <si>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</si>
  <si>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</si>
  <si>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</si>
  <si>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</si>
  <si>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</si>
  <si>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</si>
  <si>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</si>
  <si>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</si>
  <si>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</si>
  <si>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</si>
  <si>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</si>
  <si>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</si>
  <si>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</si>
  <si>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</si>
  <si>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</si>
  <si>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</si>
  <si>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</si>
  <si>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</si>
  <si>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</si>
  <si>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</si>
  <si>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</si>
  <si>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</si>
  <si>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</si>
  <si>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</si>
  <si>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</si>
  <si>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</si>
  <si>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</si>
  <si>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</si>
  <si>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</si>
  <si>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</si>
  <si>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</si>
  <si>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</si>
  <si>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</si>
  <si>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</si>
  <si>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</si>
  <si>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</si>
  <si>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</si>
  <si>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</si>
  <si>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</si>
  <si>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</si>
  <si>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</si>
  <si>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</si>
  <si>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</si>
  <si>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</si>
  <si>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</si>
  <si>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</si>
  <si>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</si>
  <si>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</si>
  <si>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</si>
  <si>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</si>
  <si>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</si>
  <si>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</si>
  <si>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</si>
  <si>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</si>
  <si>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</si>
  <si>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</si>
  <si>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</si>
  <si>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</si>
  <si>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</si>
  <si>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</si>
  <si>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</si>
  <si>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</si>
  <si>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</si>
  <si>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</si>
  <si>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</si>
  <si>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</si>
  <si>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</si>
  <si>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</si>
  <si>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</si>
  <si>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</si>
  <si>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</si>
  <si>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</si>
  <si>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</si>
  <si>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</si>
  <si>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</si>
  <si>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</si>
  <si>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</si>
  <si>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</si>
  <si>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</si>
  <si>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</si>
  <si>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</si>
  <si>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</si>
  <si>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</si>
  <si>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</si>
  <si>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</si>
  <si>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</si>
  <si>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</si>
  <si>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</si>
  <si>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</si>
  <si>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</si>
  <si>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</si>
  <si>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</si>
  <si>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</si>
  <si>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</si>
  <si>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</si>
  <si>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</si>
  <si>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</si>
  <si>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</si>
  <si>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</si>
  <si>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</si>
  <si>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</si>
  <si>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</si>
  <si>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</si>
  <si>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</si>
  <si>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</si>
  <si>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</si>
  <si>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</si>
  <si>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</si>
  <si>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</si>
  <si>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</si>
  <si>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</si>
  <si>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</si>
  <si>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</si>
  <si>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</si>
  <si>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</si>
  <si>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</si>
  <si>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</si>
  <si>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</si>
  <si>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</si>
  <si>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</si>
  <si>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</si>
  <si>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</si>
  <si>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</si>
  <si>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</si>
  <si>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</si>
  <si>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</si>
  <si>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</si>
  <si>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</si>
  <si>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</si>
  <si>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</si>
  <si>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</si>
  <si>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</si>
  <si>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</si>
  <si>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</si>
  <si>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</si>
  <si>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</si>
  <si>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</si>
  <si>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</si>
  <si>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</si>
  <si>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</si>
  <si>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</si>
  <si>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</si>
  <si>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</si>
  <si>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</si>
  <si>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</si>
  <si>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</si>
  <si>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</si>
  <si>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</si>
  <si>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</si>
  <si>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</si>
  <si>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</si>
  <si>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</si>
  <si>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</si>
  <si>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</si>
  <si>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</si>
  <si>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</si>
  <si>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</si>
  <si>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</si>
  <si>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</si>
  <si>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</si>
  <si>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</si>
  <si>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</si>
  <si>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</si>
  <si>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</si>
  <si>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</si>
  <si>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</si>
  <si>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</si>
  <si>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</si>
  <si>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</si>
  <si>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</si>
  <si>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</si>
  <si>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</si>
  <si>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</si>
  <si>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</si>
  <si>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</si>
  <si>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</si>
  <si>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</si>
  <si>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</si>
  <si>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</si>
  <si>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</si>
  <si>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</si>
  <si>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</si>
  <si>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</si>
  <si>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</si>
  <si>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</si>
  <si>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</si>
  <si>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</si>
  <si>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</si>
  <si>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</si>
  <si>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</si>
  <si>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</si>
  <si>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</si>
  <si>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</si>
  <si>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</si>
  <si>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</si>
  <si>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</si>
  <si>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</si>
  <si>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</si>
  <si>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</si>
  <si>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</si>
  <si>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</si>
  <si>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</si>
  <si>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</si>
  <si>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</si>
  <si>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</si>
  <si>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</si>
  <si>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</si>
  <si>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</si>
  <si>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</si>
  <si>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</si>
  <si>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</si>
  <si>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</si>
  <si>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</si>
  <si>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</si>
  <si>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</si>
  <si>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</si>
  <si>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</si>
  <si>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</si>
  <si>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</si>
  <si>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</si>
  <si>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</si>
  <si>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</si>
  <si>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</si>
  <si>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</si>
  <si>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</si>
  <si>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</si>
  <si>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</si>
  <si>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</si>
  <si>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</si>
  <si>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</si>
  <si>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</si>
  <si>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</si>
  <si>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</si>
  <si>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</si>
  <si>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</si>
  <si>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</si>
  <si>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</si>
  <si>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</si>
  <si>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</si>
  <si>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</si>
  <si>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</si>
  <si>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</si>
  <si>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</si>
  <si>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</si>
  <si>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</si>
  <si>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</si>
  <si>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</si>
  <si>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</si>
  <si>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</si>
  <si>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</si>
  <si>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</si>
  <si>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</si>
  <si>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</si>
  <si>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</si>
  <si>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</si>
  <si>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</si>
  <si>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</si>
  <si>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</si>
  <si>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</si>
  <si>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</si>
  <si>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</si>
  <si>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</si>
  <si>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</si>
  <si>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</si>
  <si>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</si>
  <si>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</si>
  <si>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</si>
  <si>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</si>
  <si>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</si>
  <si>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</si>
  <si>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</si>
  <si>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</si>
  <si>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</si>
  <si>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</si>
  <si>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</si>
  <si>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</si>
  <si>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</si>
  <si>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</si>
  <si>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</si>
  <si>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</si>
  <si>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</si>
  <si>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</si>
  <si>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</si>
  <si>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</si>
  <si>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</si>
  <si>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</si>
  <si>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</si>
  <si>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</si>
  <si>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</si>
  <si>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</si>
  <si>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</si>
  <si>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</si>
  <si>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</si>
  <si>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</si>
  <si>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</si>
  <si>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</si>
  <si>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</si>
  <si>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</si>
  <si>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</si>
  <si>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</si>
  <si>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</si>
  <si>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</si>
  <si>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</si>
  <si>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</si>
  <si>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</si>
  <si>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</si>
  <si>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</si>
  <si>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</si>
  <si>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</si>
  <si>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</si>
  <si>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</si>
  <si>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Cherrie Tsai</t>
  </si>
  <si>
    <t>cherrie.tsai@kaiseraluminum.com</t>
  </si>
  <si>
    <t>626.252.7162</t>
  </si>
  <si>
    <t>Vice President, Deputy General Counsel &amp; Corporate Secretary</t>
  </si>
  <si>
    <t>www.kaiseraluminum.com</t>
  </si>
  <si>
    <t>The company's ultimate parent company, Kaiser Aluminum Corporation, files the annual conflict minerals disclosure with the SEC.</t>
  </si>
  <si>
    <t>Kaiser Aluminum Warrick,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</si>
</sst>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2390866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cherrie.tsai@kaiseraluminum.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www.kaiseraluminum.com/" TargetMode="External"/><Relationship Id="rId4" Type="http://schemas.openxmlformats.org/officeDocument/2006/relationships/hyperlink" Target="mailto:cherrie.tsai@kaiseraluminum.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67"/>
      <c r="B2" s="4" t="s">
        <v>807</v>
      </c>
      <c r="C2" s="2"/>
      <c r="D2" s="159"/>
      <c r="E2" s="2"/>
      <c r="F2" s="2"/>
      <c r="G2" s="24"/>
    </row>
    <row r="3" spans="1:7">
      <c r="A3" s="367"/>
      <c r="B3" s="2" t="s">
        <v>800</v>
      </c>
      <c r="C3" s="4"/>
      <c r="D3" s="160"/>
      <c r="E3" s="2"/>
      <c r="F3" s="4"/>
      <c r="G3" s="24"/>
    </row>
    <row r="4" spans="1:7" ht="15.75">
      <c r="A4" s="367"/>
      <c r="B4" s="27" t="s">
        <v>809</v>
      </c>
      <c r="C4" s="5"/>
      <c r="D4" s="161"/>
      <c r="E4" s="2"/>
      <c r="F4" s="5"/>
      <c r="G4" s="24"/>
    </row>
    <row r="5" spans="1:7">
      <c r="A5" s="367"/>
      <c r="B5" s="26" t="s">
        <v>998</v>
      </c>
      <c r="C5" s="3"/>
      <c r="D5" s="162"/>
      <c r="E5" s="2"/>
      <c r="F5" s="3"/>
      <c r="G5" s="24"/>
    </row>
    <row r="6" spans="1:7">
      <c r="A6" s="367"/>
      <c r="B6" s="2"/>
      <c r="C6" s="2"/>
      <c r="D6" s="159"/>
      <c r="E6" s="2"/>
      <c r="F6" s="2"/>
      <c r="G6" s="24"/>
    </row>
    <row r="7" spans="1:7">
      <c r="A7" s="367"/>
      <c r="B7" s="2"/>
      <c r="C7" s="2"/>
      <c r="D7" s="159"/>
      <c r="E7" s="2"/>
      <c r="F7" s="2"/>
      <c r="G7" s="24"/>
    </row>
    <row r="8" spans="1:7">
      <c r="A8" s="367"/>
      <c r="B8" s="2"/>
      <c r="C8" s="2"/>
      <c r="D8" s="159"/>
      <c r="E8" s="2"/>
      <c r="F8" s="2"/>
      <c r="G8" s="24"/>
    </row>
    <row r="9" spans="1:7">
      <c r="A9" s="367"/>
      <c r="B9" s="370" t="s">
        <v>810</v>
      </c>
      <c r="C9" s="370"/>
      <c r="D9" s="370"/>
      <c r="E9" s="370"/>
      <c r="F9" s="370"/>
      <c r="G9" s="24"/>
    </row>
    <row r="10" spans="1:7" ht="27" customHeight="1">
      <c r="A10" s="367"/>
      <c r="B10" s="371" t="s">
        <v>423</v>
      </c>
      <c r="C10" s="371"/>
      <c r="D10" s="371"/>
      <c r="E10" s="371"/>
      <c r="F10" s="371"/>
      <c r="G10" s="24"/>
    </row>
    <row r="11" spans="1:7" ht="27" customHeight="1">
      <c r="A11" s="367"/>
      <c r="B11" s="372"/>
      <c r="C11" s="372"/>
      <c r="D11" s="372"/>
      <c r="E11" s="372"/>
      <c r="F11" s="372"/>
      <c r="G11" s="24"/>
    </row>
    <row r="12" spans="1:7">
      <c r="A12" s="367"/>
      <c r="B12" s="28" t="s">
        <v>808</v>
      </c>
      <c r="C12" s="29" t="s">
        <v>811</v>
      </c>
      <c r="D12" s="163" t="s">
        <v>812</v>
      </c>
      <c r="E12" s="29" t="s">
        <v>593</v>
      </c>
      <c r="F12" s="29" t="s">
        <v>594</v>
      </c>
      <c r="G12" s="24"/>
    </row>
    <row r="13" spans="1:7" ht="33.75">
      <c r="A13" s="367"/>
      <c r="B13" s="275">
        <v>1</v>
      </c>
      <c r="C13" s="276" t="s">
        <v>1046</v>
      </c>
      <c r="D13" s="277" t="s">
        <v>836</v>
      </c>
      <c r="E13" s="278" t="s">
        <v>813</v>
      </c>
      <c r="F13" s="278"/>
      <c r="G13" s="24"/>
    </row>
    <row r="14" spans="1:7" ht="56.25">
      <c r="A14" s="367"/>
      <c r="B14" s="275">
        <v>2</v>
      </c>
      <c r="C14" s="276" t="s">
        <v>1046</v>
      </c>
      <c r="D14" s="277" t="s">
        <v>983</v>
      </c>
      <c r="E14" s="278" t="s">
        <v>513</v>
      </c>
      <c r="F14" s="278" t="s">
        <v>514</v>
      </c>
      <c r="G14" s="24"/>
    </row>
    <row r="15" spans="1:7" ht="89.1" customHeight="1">
      <c r="A15" s="367"/>
      <c r="B15" s="373">
        <v>2.0099999999999998</v>
      </c>
      <c r="C15" s="364" t="s">
        <v>1046</v>
      </c>
      <c r="D15" s="376" t="s">
        <v>2150</v>
      </c>
      <c r="E15" s="279" t="s">
        <v>595</v>
      </c>
      <c r="F15" s="279" t="s">
        <v>598</v>
      </c>
      <c r="G15" s="24"/>
    </row>
    <row r="16" spans="1:7" ht="99" customHeight="1">
      <c r="A16" s="367"/>
      <c r="B16" s="374"/>
      <c r="C16" s="365"/>
      <c r="D16" s="377"/>
      <c r="E16" s="280"/>
      <c r="F16" s="280" t="s">
        <v>596</v>
      </c>
      <c r="G16" s="24"/>
    </row>
    <row r="17" spans="1:7" ht="63" customHeight="1">
      <c r="A17" s="367"/>
      <c r="B17" s="375"/>
      <c r="C17" s="366"/>
      <c r="D17" s="378"/>
      <c r="E17" s="276"/>
      <c r="F17" s="276" t="s">
        <v>597</v>
      </c>
      <c r="G17" s="24"/>
    </row>
    <row r="18" spans="1:7" ht="117" customHeight="1">
      <c r="A18" s="367"/>
      <c r="B18" s="373">
        <v>2.02</v>
      </c>
      <c r="C18" s="364" t="s">
        <v>1046</v>
      </c>
      <c r="D18" s="376" t="s">
        <v>2151</v>
      </c>
      <c r="E18" s="279" t="s">
        <v>424</v>
      </c>
      <c r="F18" s="279" t="s">
        <v>508</v>
      </c>
      <c r="G18" s="24"/>
    </row>
    <row r="19" spans="1:7" ht="71.099999999999994" customHeight="1">
      <c r="A19" s="367"/>
      <c r="B19" s="374"/>
      <c r="C19" s="365"/>
      <c r="D19" s="377"/>
      <c r="E19" s="280" t="s">
        <v>512</v>
      </c>
      <c r="F19" s="280" t="s">
        <v>425</v>
      </c>
      <c r="G19" s="24"/>
    </row>
    <row r="20" spans="1:7" ht="90.75" customHeight="1">
      <c r="A20" s="367"/>
      <c r="B20" s="374"/>
      <c r="C20" s="365"/>
      <c r="D20" s="377"/>
      <c r="E20" s="280"/>
      <c r="F20" s="280" t="s">
        <v>600</v>
      </c>
      <c r="G20" s="24"/>
    </row>
    <row r="21" spans="1:7" ht="74.25" customHeight="1">
      <c r="A21" s="367"/>
      <c r="B21" s="375"/>
      <c r="C21" s="366"/>
      <c r="D21" s="378"/>
      <c r="E21" s="276"/>
      <c r="F21" s="276" t="s">
        <v>599</v>
      </c>
      <c r="G21" s="24"/>
    </row>
    <row r="22" spans="1:7" ht="90" customHeight="1">
      <c r="A22" s="367"/>
      <c r="B22" s="358">
        <v>2.0299999999999998</v>
      </c>
      <c r="C22" s="358" t="s">
        <v>783</v>
      </c>
      <c r="D22" s="361" t="s">
        <v>2152</v>
      </c>
      <c r="E22" s="364" t="s">
        <v>422</v>
      </c>
      <c r="F22" s="279" t="s">
        <v>445</v>
      </c>
      <c r="G22" s="24"/>
    </row>
    <row r="23" spans="1:7" ht="109.5" customHeight="1">
      <c r="A23" s="367"/>
      <c r="B23" s="359"/>
      <c r="C23" s="359"/>
      <c r="D23" s="362"/>
      <c r="E23" s="365"/>
      <c r="F23" s="280" t="s">
        <v>784</v>
      </c>
      <c r="G23" s="24"/>
    </row>
    <row r="24" spans="1:7" ht="74.25" customHeight="1">
      <c r="A24" s="367"/>
      <c r="B24" s="360"/>
      <c r="C24" s="360"/>
      <c r="D24" s="363"/>
      <c r="E24" s="366"/>
      <c r="F24" s="276" t="s">
        <v>421</v>
      </c>
      <c r="G24" s="24"/>
    </row>
    <row r="25" spans="1:7" ht="72" customHeight="1">
      <c r="A25" s="367"/>
      <c r="B25" s="275" t="s">
        <v>443</v>
      </c>
      <c r="C25" s="276" t="s">
        <v>444</v>
      </c>
      <c r="D25" s="277" t="s">
        <v>2153</v>
      </c>
      <c r="E25" s="276" t="s">
        <v>2148</v>
      </c>
      <c r="F25" s="276" t="s">
        <v>446</v>
      </c>
      <c r="G25" s="24"/>
    </row>
    <row r="26" spans="1:7" ht="98.1" customHeight="1">
      <c r="A26" s="367"/>
      <c r="B26" s="379">
        <v>3</v>
      </c>
      <c r="C26" s="373" t="s">
        <v>66</v>
      </c>
      <c r="D26" s="376" t="s">
        <v>2154</v>
      </c>
      <c r="E26" s="364" t="s">
        <v>0</v>
      </c>
      <c r="F26" s="279" t="s">
        <v>60</v>
      </c>
      <c r="G26" s="24"/>
    </row>
    <row r="27" spans="1:7" ht="90" customHeight="1">
      <c r="A27" s="367"/>
      <c r="B27" s="380"/>
      <c r="C27" s="374"/>
      <c r="D27" s="377"/>
      <c r="E27" s="365"/>
      <c r="F27" s="280" t="s">
        <v>55</v>
      </c>
      <c r="G27" s="24"/>
    </row>
    <row r="28" spans="1:7" ht="19.350000000000001" customHeight="1">
      <c r="A28" s="367"/>
      <c r="B28" s="380"/>
      <c r="C28" s="374"/>
      <c r="D28" s="377"/>
      <c r="E28" s="365"/>
      <c r="F28" s="280" t="s">
        <v>56</v>
      </c>
      <c r="G28" s="24"/>
    </row>
    <row r="29" spans="1:7" ht="74.45" customHeight="1">
      <c r="A29" s="367"/>
      <c r="B29" s="380"/>
      <c r="C29" s="374"/>
      <c r="D29" s="377"/>
      <c r="E29" s="365"/>
      <c r="F29" s="280" t="s">
        <v>57</v>
      </c>
      <c r="G29" s="24"/>
    </row>
    <row r="30" spans="1:7" ht="62.45" customHeight="1">
      <c r="A30" s="367"/>
      <c r="B30" s="380"/>
      <c r="C30" s="374"/>
      <c r="D30" s="377"/>
      <c r="E30" s="365"/>
      <c r="F30" s="280" t="s">
        <v>58</v>
      </c>
      <c r="G30" s="24"/>
    </row>
    <row r="31" spans="1:7" ht="81" customHeight="1">
      <c r="A31" s="367"/>
      <c r="B31" s="380"/>
      <c r="C31" s="374"/>
      <c r="D31" s="377"/>
      <c r="E31" s="365"/>
      <c r="F31" s="280" t="s">
        <v>59</v>
      </c>
      <c r="G31" s="24"/>
    </row>
    <row r="32" spans="1:7" ht="48.75" customHeight="1">
      <c r="A32" s="367"/>
      <c r="B32" s="380"/>
      <c r="C32" s="374"/>
      <c r="D32" s="377"/>
      <c r="E32" s="365"/>
      <c r="F32" s="280" t="s">
        <v>62</v>
      </c>
      <c r="G32" s="24"/>
    </row>
    <row r="33" spans="1:7" ht="98.45" customHeight="1">
      <c r="A33" s="367"/>
      <c r="B33" s="380"/>
      <c r="C33" s="374"/>
      <c r="D33" s="377"/>
      <c r="E33" s="365"/>
      <c r="F33" s="280" t="s">
        <v>61</v>
      </c>
      <c r="G33" s="24"/>
    </row>
    <row r="34" spans="1:7" ht="89.1" customHeight="1">
      <c r="A34" s="367"/>
      <c r="B34" s="380"/>
      <c r="C34" s="374"/>
      <c r="D34" s="377"/>
      <c r="E34" s="365"/>
      <c r="F34" s="280" t="s">
        <v>63</v>
      </c>
      <c r="G34" s="24"/>
    </row>
    <row r="35" spans="1:7" ht="29.1" customHeight="1">
      <c r="A35" s="367"/>
      <c r="B35" s="380"/>
      <c r="C35" s="374"/>
      <c r="D35" s="377"/>
      <c r="E35" s="365"/>
      <c r="F35" s="280" t="s">
        <v>64</v>
      </c>
      <c r="G35" s="24"/>
    </row>
    <row r="36" spans="1:7" ht="147">
      <c r="A36" s="367"/>
      <c r="B36" s="381"/>
      <c r="C36" s="375"/>
      <c r="D36" s="378"/>
      <c r="E36" s="366"/>
      <c r="F36" s="282" t="s">
        <v>65</v>
      </c>
      <c r="G36" s="24"/>
    </row>
    <row r="37" spans="1:7" ht="157.5">
      <c r="A37" s="367"/>
      <c r="B37" s="281">
        <v>3.01</v>
      </c>
      <c r="C37" s="283" t="s">
        <v>66</v>
      </c>
      <c r="D37" s="277" t="s">
        <v>2155</v>
      </c>
      <c r="E37" s="284" t="s">
        <v>1282</v>
      </c>
      <c r="F37" s="285" t="s">
        <v>1384</v>
      </c>
      <c r="G37" s="24"/>
    </row>
    <row r="38" spans="1:7" ht="146.25">
      <c r="A38" s="367"/>
      <c r="B38" s="281">
        <v>3.02</v>
      </c>
      <c r="C38" s="283" t="s">
        <v>1314</v>
      </c>
      <c r="D38" s="277" t="s">
        <v>2156</v>
      </c>
      <c r="E38" s="284" t="s">
        <v>1329</v>
      </c>
      <c r="F38" s="285" t="s">
        <v>1385</v>
      </c>
      <c r="G38" s="24"/>
    </row>
    <row r="39" spans="1:7" ht="112.5">
      <c r="A39" s="367"/>
      <c r="B39" s="286">
        <v>4</v>
      </c>
      <c r="C39" s="287" t="s">
        <v>1480</v>
      </c>
      <c r="D39" s="277" t="s">
        <v>2157</v>
      </c>
      <c r="E39" s="276" t="s">
        <v>2104</v>
      </c>
      <c r="F39" s="276" t="s">
        <v>1481</v>
      </c>
      <c r="G39" s="24"/>
    </row>
    <row r="40" spans="1:7" ht="67.5">
      <c r="A40" s="367"/>
      <c r="B40" s="281">
        <v>4.01</v>
      </c>
      <c r="C40" s="287" t="s">
        <v>1480</v>
      </c>
      <c r="D40" s="277" t="s">
        <v>2159</v>
      </c>
      <c r="E40" s="276" t="s">
        <v>2116</v>
      </c>
      <c r="F40" s="276" t="s">
        <v>2120</v>
      </c>
      <c r="G40" s="24"/>
    </row>
    <row r="41" spans="1:7" ht="67.5">
      <c r="A41" s="367"/>
      <c r="B41" s="281" t="s">
        <v>2146</v>
      </c>
      <c r="C41" s="287" t="s">
        <v>1480</v>
      </c>
      <c r="D41" s="277" t="s">
        <v>2158</v>
      </c>
      <c r="E41" s="276" t="s">
        <v>2149</v>
      </c>
      <c r="F41" s="276" t="s">
        <v>2147</v>
      </c>
      <c r="G41" s="24"/>
    </row>
    <row r="42" spans="1:7" ht="67.5">
      <c r="A42" s="367"/>
      <c r="B42" s="281" t="s">
        <v>2173</v>
      </c>
      <c r="C42" s="287" t="s">
        <v>1480</v>
      </c>
      <c r="D42" s="277" t="s">
        <v>2178</v>
      </c>
      <c r="E42" s="276" t="s">
        <v>2148</v>
      </c>
      <c r="F42" s="276" t="s">
        <v>2174</v>
      </c>
      <c r="G42" s="24"/>
    </row>
    <row r="43" spans="1:7" ht="191.25">
      <c r="A43" s="367"/>
      <c r="B43" s="288">
        <v>4.0999999999999996</v>
      </c>
      <c r="C43" s="287" t="s">
        <v>2177</v>
      </c>
      <c r="D43" s="289">
        <v>42867</v>
      </c>
      <c r="E43" s="290" t="s">
        <v>2180</v>
      </c>
      <c r="F43" s="276" t="s">
        <v>2179</v>
      </c>
      <c r="G43" s="24"/>
    </row>
    <row r="44" spans="1:7" ht="112.5">
      <c r="A44" s="367"/>
      <c r="B44" s="288">
        <v>4.2</v>
      </c>
      <c r="C44" s="287" t="s">
        <v>2177</v>
      </c>
      <c r="D44" s="289">
        <v>42704</v>
      </c>
      <c r="E44" s="290" t="s">
        <v>2369</v>
      </c>
      <c r="F44" s="276" t="s">
        <v>2344</v>
      </c>
      <c r="G44" s="24"/>
    </row>
    <row r="45" spans="1:7" ht="213.75">
      <c r="A45" s="367"/>
      <c r="B45" s="291">
        <v>5</v>
      </c>
      <c r="C45" s="287" t="s">
        <v>2177</v>
      </c>
      <c r="D45" s="289">
        <v>42867</v>
      </c>
      <c r="E45" s="290" t="s">
        <v>12256</v>
      </c>
      <c r="F45" s="276" t="s">
        <v>11978</v>
      </c>
      <c r="G45" s="24"/>
    </row>
    <row r="46" spans="1:7" ht="56.25">
      <c r="A46" s="367"/>
      <c r="B46" s="288">
        <v>5.01</v>
      </c>
      <c r="C46" s="287" t="s">
        <v>2177</v>
      </c>
      <c r="D46" s="289">
        <v>42907</v>
      </c>
      <c r="E46" s="290" t="s">
        <v>14886</v>
      </c>
      <c r="F46" s="276" t="s">
        <v>11978</v>
      </c>
      <c r="G46" s="24"/>
    </row>
    <row r="47" spans="1:7" ht="101.25">
      <c r="A47" s="367"/>
      <c r="B47" s="288">
        <v>5.0999999999999996</v>
      </c>
      <c r="C47" s="287" t="s">
        <v>2177</v>
      </c>
      <c r="D47" s="289">
        <v>43070</v>
      </c>
      <c r="E47" s="290" t="s">
        <v>12456</v>
      </c>
      <c r="F47" s="276" t="s">
        <v>12457</v>
      </c>
      <c r="G47" s="24"/>
    </row>
    <row r="48" spans="1:7" ht="90">
      <c r="A48" s="367"/>
      <c r="B48" s="288">
        <v>5.1100000000000003</v>
      </c>
      <c r="C48" s="287" t="s">
        <v>12684</v>
      </c>
      <c r="D48" s="289">
        <v>43217</v>
      </c>
      <c r="E48" s="290" t="s">
        <v>12786</v>
      </c>
      <c r="F48" s="276" t="s">
        <v>12711</v>
      </c>
      <c r="G48" s="24"/>
    </row>
    <row r="49" spans="1:7" ht="90">
      <c r="A49" s="367"/>
      <c r="B49" s="288">
        <v>5.12</v>
      </c>
      <c r="C49" s="287" t="s">
        <v>12684</v>
      </c>
      <c r="D49" s="289">
        <v>43581</v>
      </c>
      <c r="E49" s="290" t="s">
        <v>12786</v>
      </c>
      <c r="F49" s="276" t="s">
        <v>13315</v>
      </c>
      <c r="G49" s="24"/>
    </row>
    <row r="50" spans="1:7" ht="112.5">
      <c r="A50" s="367"/>
      <c r="B50" s="291">
        <v>6</v>
      </c>
      <c r="C50" s="287" t="s">
        <v>12684</v>
      </c>
      <c r="D50" s="289">
        <v>43964</v>
      </c>
      <c r="E50" s="290" t="s">
        <v>13527</v>
      </c>
      <c r="F50" s="276" t="s">
        <v>13318</v>
      </c>
      <c r="G50" s="24"/>
    </row>
    <row r="51" spans="1:7" ht="56.25">
      <c r="A51" s="367"/>
      <c r="B51" s="288">
        <v>6.01</v>
      </c>
      <c r="C51" s="287" t="s">
        <v>12684</v>
      </c>
      <c r="D51" s="289">
        <v>43970</v>
      </c>
      <c r="E51" s="290" t="s">
        <v>14887</v>
      </c>
      <c r="F51" s="290" t="s">
        <v>13318</v>
      </c>
      <c r="G51" s="24"/>
    </row>
    <row r="52" spans="1:7" ht="56.25">
      <c r="A52" s="367"/>
      <c r="B52" s="288">
        <v>6.1</v>
      </c>
      <c r="C52" s="287" t="s">
        <v>12684</v>
      </c>
      <c r="D52" s="289">
        <v>44314</v>
      </c>
      <c r="E52" s="290" t="s">
        <v>14880</v>
      </c>
      <c r="F52" s="290" t="s">
        <v>14487</v>
      </c>
      <c r="G52" s="24"/>
    </row>
    <row r="53" spans="1:7" ht="56.25">
      <c r="A53" s="367"/>
      <c r="B53" s="288">
        <v>6.2</v>
      </c>
      <c r="C53" s="287" t="s">
        <v>12684</v>
      </c>
      <c r="D53" s="289">
        <v>44678</v>
      </c>
      <c r="E53" s="290" t="s">
        <v>14880</v>
      </c>
      <c r="F53" s="290" t="s">
        <v>14879</v>
      </c>
      <c r="G53" s="24"/>
    </row>
    <row r="54" spans="1:7" ht="56.25">
      <c r="A54" s="367"/>
      <c r="B54" s="288">
        <v>6.21</v>
      </c>
      <c r="C54" s="287" t="s">
        <v>12684</v>
      </c>
      <c r="D54" s="289">
        <v>44687</v>
      </c>
      <c r="E54" s="290" t="s">
        <v>14888</v>
      </c>
      <c r="F54" s="290" t="s">
        <v>14879</v>
      </c>
      <c r="G54" s="24"/>
    </row>
    <row r="55" spans="1:7" ht="56.25">
      <c r="A55" s="367"/>
      <c r="B55" s="288">
        <v>6.22</v>
      </c>
      <c r="C55" s="287" t="s">
        <v>12684</v>
      </c>
      <c r="D55" s="292">
        <v>44692</v>
      </c>
      <c r="E55" s="290" t="s">
        <v>14887</v>
      </c>
      <c r="F55" s="290" t="s">
        <v>14879</v>
      </c>
      <c r="G55" s="24"/>
    </row>
    <row r="56" spans="1:7" ht="90">
      <c r="A56" s="367"/>
      <c r="B56" s="291">
        <v>6.3</v>
      </c>
      <c r="C56" s="287" t="s">
        <v>12684</v>
      </c>
      <c r="D56" s="292">
        <v>45051</v>
      </c>
      <c r="E56" s="290" t="s">
        <v>15144</v>
      </c>
      <c r="F56" s="290" t="s">
        <v>14925</v>
      </c>
      <c r="G56" s="24"/>
    </row>
    <row r="57" spans="1:7" ht="56.25">
      <c r="A57" s="367"/>
      <c r="B57" s="288">
        <v>6.31</v>
      </c>
      <c r="C57" s="287" t="s">
        <v>12684</v>
      </c>
      <c r="D57" s="292">
        <v>45072</v>
      </c>
      <c r="E57" s="290" t="s">
        <v>15146</v>
      </c>
      <c r="F57" s="290" t="s">
        <v>14925</v>
      </c>
      <c r="G57" s="24"/>
    </row>
    <row r="58" spans="1:7" ht="56.25">
      <c r="A58" s="367"/>
      <c r="B58" s="291">
        <v>6.4</v>
      </c>
      <c r="C58" s="287" t="s">
        <v>12684</v>
      </c>
      <c r="D58" s="292">
        <v>45408</v>
      </c>
      <c r="E58" s="290" t="s">
        <v>15148</v>
      </c>
      <c r="F58" s="290" t="s">
        <v>15147</v>
      </c>
      <c r="G58" s="24"/>
    </row>
    <row r="59" spans="1:7" ht="56.25">
      <c r="A59" s="367"/>
      <c r="B59" s="291">
        <v>6.5</v>
      </c>
      <c r="C59" s="287" t="s">
        <v>12684</v>
      </c>
      <c r="D59" s="292">
        <v>45772</v>
      </c>
      <c r="E59" s="290" t="s">
        <v>15217</v>
      </c>
      <c r="F59" s="290" t="s">
        <v>15259</v>
      </c>
      <c r="G59" s="24"/>
    </row>
    <row r="60" spans="1:7" ht="90">
      <c r="A60" s="367"/>
      <c r="B60" s="291">
        <v>6.6</v>
      </c>
      <c r="C60" s="287" t="s">
        <v>12684</v>
      </c>
      <c r="D60" s="292">
        <v>46129</v>
      </c>
      <c r="E60" s="290" t="s">
        <v>15870</v>
      </c>
      <c r="F60" s="293" t="s">
        <v>15352</v>
      </c>
      <c r="G60" s="24"/>
    </row>
    <row r="61" spans="1:7" ht="13.5" thickBot="1">
      <c r="A61" s="368"/>
      <c r="B61" s="369" t="str">
        <f ca="1">OFFSET(L!$C$1,MATCH("General"&amp;"Cpy",L!$A:$A,0)-1,SL,,)</f>
        <v>© 2026 Responsible Minerals Initiative. All rights reserved.</v>
      </c>
      <c r="C61" s="369"/>
      <c r="D61" s="369"/>
      <c r="E61" s="369"/>
      <c r="F61" s="369"/>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3.95"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5">
      <c r="A10" s="71"/>
      <c r="B10" s="60" t="str">
        <f ca="1">OFFSET(L!$C$1,MATCH("Definitions"&amp;ADDRESS(ROW(),COLUMN(),4),L!$A:$A,0)-1,SL,,)</f>
        <v>DRC</v>
      </c>
      <c r="C10" s="60" t="str">
        <f ca="1">OFFSET(L!$C$1,MATCH("Definitions"&amp;ADDRESS(ROW(),COLUMN(),4),L!$A:$A,0)-1,SL,,)</f>
        <v>Democratic Republic of Congo</v>
      </c>
      <c r="D10" s="386"/>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6"/>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5">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6"/>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5">
      <c r="A32" s="71"/>
      <c r="B32" s="385" t="str">
        <f ca="1">OFFSET(L!$C$1,MATCH("General"&amp;"Cpy",L!$A:$A,0)-1,SL,,)</f>
        <v>© 2026 Responsible Minerals Initiative. All rights reserved.</v>
      </c>
      <c r="C32" s="385"/>
      <c r="D32" s="386"/>
      <c r="E32" s="97"/>
    </row>
    <row r="33" spans="1:4" ht="13.5" thickBot="1">
      <c r="A33" s="72"/>
      <c r="B33" s="146"/>
      <c r="C33" s="146"/>
      <c r="D33" s="387"/>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AI10" sqref="AI10"/>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35"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5.75">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34" t="s">
        <v>15885</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47" t="str">
        <f ca="1">OFFSET(L!$C$1,MATCH("Declaration"&amp;ADDRESS(ROW(),COLUMN(),4)&amp;LEFT($D$9,1),L!$A:$A,0)-1,SL,,)</f>
        <v>Description of Scope:</v>
      </c>
      <c r="C10" s="119"/>
      <c r="D10" s="338">
        <v>2026</v>
      </c>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5.75">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21"/>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21"/>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21" t="s">
        <v>15879</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49" t="s">
        <v>15880</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21" t="s">
        <v>15881</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294" t="s">
        <v>15879</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21" t="s">
        <v>15882</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49" t="s">
        <v>15880</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52"/>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55">
        <v>46216</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297" t="s">
        <v>474</v>
      </c>
      <c r="E26" s="298"/>
      <c r="F26" s="11"/>
      <c r="G26" s="299"/>
      <c r="H26" s="300"/>
      <c r="I26" s="300"/>
      <c r="J26" s="301"/>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 xml:space="preserve">Tin  </v>
      </c>
      <c r="C27" s="32"/>
      <c r="D27" s="297" t="s">
        <v>474</v>
      </c>
      <c r="E27" s="298"/>
      <c r="F27" s="11"/>
      <c r="G27" s="299"/>
      <c r="H27" s="300"/>
      <c r="I27" s="300"/>
      <c r="J27" s="301"/>
      <c r="K27" s="33"/>
      <c r="L27" s="113"/>
      <c r="P27" s="42" t="str">
        <f>IF(D$27="No","","(*)")</f>
        <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297" t="s">
        <v>474</v>
      </c>
      <c r="E28" s="298"/>
      <c r="F28" s="11"/>
      <c r="G28" s="299"/>
      <c r="H28" s="300"/>
      <c r="I28" s="300"/>
      <c r="J28" s="301"/>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297" t="s">
        <v>474</v>
      </c>
      <c r="E29" s="298"/>
      <c r="F29" s="11"/>
      <c r="G29" s="299"/>
      <c r="H29" s="300"/>
      <c r="I29" s="300"/>
      <c r="J29" s="301"/>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v>
      </c>
      <c r="C31" s="9"/>
      <c r="D31" s="306" t="str">
        <f ca="1">D25</f>
        <v>Answer</v>
      </c>
      <c r="E31" s="306"/>
      <c r="F31" s="17"/>
      <c r="G31" s="41" t="str">
        <f ca="1">G25</f>
        <v>Comments</v>
      </c>
      <c r="H31" s="41"/>
      <c r="I31" s="41"/>
      <c r="J31" s="80"/>
      <c r="K31" s="33"/>
      <c r="L31" s="108" t="s">
        <v>1197</v>
      </c>
      <c r="P31" s="42">
        <f>COUNTIF(D$26:D$29,"No")</f>
        <v>4</v>
      </c>
      <c r="Q31" s="42" t="str">
        <f>IF(P31=4,""," (*)")</f>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16"/>
      <c r="E32" s="317"/>
      <c r="F32" s="44"/>
      <c r="G32" s="299"/>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 xml:space="preserve">Tin  </v>
      </c>
      <c r="C33" s="9"/>
      <c r="D33" s="297"/>
      <c r="E33" s="298"/>
      <c r="F33" s="44"/>
      <c r="G33" s="299"/>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297"/>
      <c r="E34" s="298"/>
      <c r="F34" s="44"/>
      <c r="G34" s="299"/>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297"/>
      <c r="E35" s="298"/>
      <c r="F35" s="44"/>
      <c r="G35" s="299"/>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v>
      </c>
      <c r="C37" s="9"/>
      <c r="D37" s="306" t="str">
        <f ca="1">D25</f>
        <v>Answer</v>
      </c>
      <c r="E37" s="306"/>
      <c r="F37" s="17"/>
      <c r="G37" s="41" t="str">
        <f ca="1">G25</f>
        <v>Comments</v>
      </c>
      <c r="H37" s="320"/>
      <c r="I37" s="320"/>
      <c r="J37" s="320"/>
      <c r="K37" s="33"/>
      <c r="L37" s="108" t="s">
        <v>1197</v>
      </c>
      <c r="P37" s="42">
        <f>COUNTIF(D$26:D$29,"No")+COUNTIF(D$32:D$35,"No")</f>
        <v>4</v>
      </c>
      <c r="Q37" s="42" t="str">
        <f>IF(P37&gt;3,""," (*)")</f>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297"/>
      <c r="E38" s="298"/>
      <c r="F38" s="44"/>
      <c r="G38" s="299"/>
      <c r="H38" s="300"/>
      <c r="I38" s="300"/>
      <c r="J38" s="301"/>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 xml:space="preserve">Tin  </v>
      </c>
      <c r="C39" s="9"/>
      <c r="D39" s="297"/>
      <c r="E39" s="298"/>
      <c r="F39" s="44"/>
      <c r="G39" s="299"/>
      <c r="H39" s="300"/>
      <c r="I39" s="300"/>
      <c r="J39" s="301"/>
      <c r="K39" s="33"/>
      <c r="L39" s="113"/>
      <c r="P39" s="42" t="str">
        <f>IF((OR(D$27="No",D$33="No")),"","(*)")</f>
        <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 xml:space="preserve">Gold  </v>
      </c>
      <c r="C40" s="9"/>
      <c r="D40" s="297"/>
      <c r="E40" s="298"/>
      <c r="F40" s="44"/>
      <c r="G40" s="299"/>
      <c r="H40" s="300"/>
      <c r="I40" s="300"/>
      <c r="J40" s="301"/>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297"/>
      <c r="E41" s="298"/>
      <c r="F41" s="44"/>
      <c r="G41" s="299"/>
      <c r="H41" s="300"/>
      <c r="I41" s="300"/>
      <c r="J41" s="301"/>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v>
      </c>
      <c r="C43" s="9"/>
      <c r="D43" s="306" t="str">
        <f ca="1">D25</f>
        <v>Answer</v>
      </c>
      <c r="E43" s="306"/>
      <c r="F43" s="17"/>
      <c r="G43" s="41" t="str">
        <f ca="1">G25</f>
        <v>Comments</v>
      </c>
      <c r="H43" s="41"/>
      <c r="I43" s="41"/>
      <c r="J43" s="80"/>
      <c r="K43" s="33"/>
      <c r="L43" s="108"/>
      <c r="P43" s="42">
        <f>COUNTIF(D$26:D$29,"No")+COUNTIF(D$32:D$35,"No")</f>
        <v>4</v>
      </c>
      <c r="Q43" s="42" t="str">
        <f>IF(P43&gt;3,""," (*)")</f>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7"/>
      <c r="E44" s="298"/>
      <c r="F44" s="44"/>
      <c r="G44" s="299"/>
      <c r="H44" s="300"/>
      <c r="I44" s="300"/>
      <c r="J44" s="301"/>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297"/>
      <c r="E45" s="298"/>
      <c r="F45" s="44"/>
      <c r="G45" s="299"/>
      <c r="H45" s="300"/>
      <c r="I45" s="300"/>
      <c r="J45" s="301"/>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297"/>
      <c r="E46" s="298"/>
      <c r="F46" s="44"/>
      <c r="G46" s="299"/>
      <c r="H46" s="300"/>
      <c r="I46" s="300"/>
      <c r="J46" s="301"/>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7"/>
      <c r="E47" s="298"/>
      <c r="F47" s="44"/>
      <c r="G47" s="299"/>
      <c r="H47" s="300"/>
      <c r="I47" s="300"/>
      <c r="J47" s="301"/>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 xml:space="preserve">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297"/>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 xml:space="preserve">Tin  </v>
      </c>
      <c r="C51" s="9"/>
      <c r="D51" s="297"/>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297"/>
      <c r="E52" s="298"/>
      <c r="F52" s="44"/>
      <c r="G52" s="299"/>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297"/>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 xml:space="preserve">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18"/>
      <c r="E56" s="319"/>
      <c r="F56" s="44"/>
      <c r="G56" s="299"/>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 xml:space="preserve">Tin  </v>
      </c>
      <c r="C57" s="32"/>
      <c r="D57" s="318"/>
      <c r="E57" s="319"/>
      <c r="F57" s="44"/>
      <c r="G57" s="299"/>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18"/>
      <c r="E58" s="319"/>
      <c r="F58" s="44"/>
      <c r="G58" s="299"/>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18"/>
      <c r="E59" s="319"/>
      <c r="F59" s="44"/>
      <c r="G59" s="299"/>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 xml:space="preserve">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16"/>
      <c r="E62" s="317"/>
      <c r="F62" s="44"/>
      <c r="G62" s="299"/>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 xml:space="preserve">Tin  </v>
      </c>
      <c r="C63" s="9"/>
      <c r="D63" s="297"/>
      <c r="E63" s="298"/>
      <c r="F63" s="44"/>
      <c r="G63" s="299"/>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297"/>
      <c r="E64" s="298"/>
      <c r="F64" s="44"/>
      <c r="G64" s="299"/>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297"/>
      <c r="E65" s="298"/>
      <c r="F65" s="44"/>
      <c r="G65" s="299"/>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 xml:space="preserve">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297"/>
      <c r="E68" s="298"/>
      <c r="F68" s="45"/>
      <c r="G68" s="299"/>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 xml:space="preserve">Tin  </v>
      </c>
      <c r="C69" s="32"/>
      <c r="D69" s="297"/>
      <c r="E69" s="298"/>
      <c r="F69" s="45"/>
      <c r="G69" s="299"/>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297"/>
      <c r="E70" s="298"/>
      <c r="F70" s="45"/>
      <c r="G70" s="299"/>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297"/>
      <c r="E71" s="298"/>
      <c r="F71" s="47"/>
      <c r="G71" s="299"/>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v>
      </c>
      <c r="C75" s="54"/>
      <c r="D75" s="297" t="s">
        <v>473</v>
      </c>
      <c r="E75" s="298"/>
      <c r="F75" s="54"/>
      <c r="G75" s="299"/>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v>
      </c>
      <c r="C77" s="54"/>
      <c r="D77" s="297" t="s">
        <v>473</v>
      </c>
      <c r="E77" s="298"/>
      <c r="F77" s="54"/>
      <c r="G77" s="325" t="s">
        <v>15883</v>
      </c>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v>
      </c>
      <c r="C79" s="54"/>
      <c r="D79" s="297" t="s">
        <v>473</v>
      </c>
      <c r="E79" s="298"/>
      <c r="F79" s="54"/>
      <c r="G79" s="299"/>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v>
      </c>
      <c r="C81" s="54"/>
      <c r="D81" s="297" t="s">
        <v>473</v>
      </c>
      <c r="E81" s="298"/>
      <c r="F81" s="54"/>
      <c r="G81" s="299"/>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v>
      </c>
      <c r="C83" s="54"/>
      <c r="D83" s="297" t="s">
        <v>14427</v>
      </c>
      <c r="E83" s="298"/>
      <c r="F83" s="54"/>
      <c r="G83" s="299"/>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v>
      </c>
      <c r="C85" s="54"/>
      <c r="D85" s="310" t="s">
        <v>473</v>
      </c>
      <c r="E85" s="311"/>
      <c r="F85" s="54"/>
      <c r="G85" s="299"/>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v>
      </c>
      <c r="C87" s="54"/>
      <c r="D87" s="297" t="s">
        <v>473</v>
      </c>
      <c r="E87" s="298"/>
      <c r="F87" s="54"/>
      <c r="G87" s="299"/>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v>
      </c>
      <c r="C89" s="54"/>
      <c r="D89" s="297" t="s">
        <v>13454</v>
      </c>
      <c r="E89" s="298"/>
      <c r="F89" s="54"/>
      <c r="G89" s="299" t="s">
        <v>15884</v>
      </c>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5.75"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
      </c>
    </row>
    <row r="99" spans="2:7" ht="15.75" hidden="1">
      <c r="B99" s="172">
        <v>1</v>
      </c>
      <c r="D99" s="264" t="str">
        <f>IF(AND(OR($D$27="Yes",$D$27=""),OR($D$33="Yes",$D$33="")),"Yes","")</f>
        <v/>
      </c>
      <c r="E99" s="264" t="str">
        <f>IF(AND(OR($D$26="Yes",$D$26=""),OR($D$32="Yes",$D$32="")),"Greater than 50%","")</f>
        <v/>
      </c>
      <c r="G99" s="264" t="str">
        <f>IF(OR($D$27="Yes",$D$27=""),"No","")</f>
        <v/>
      </c>
    </row>
    <row r="100" spans="2:7" ht="15.75" hidden="1">
      <c r="B100" s="219" t="s">
        <v>2370</v>
      </c>
      <c r="D100" s="264" t="str">
        <f>IF(AND(OR($D$27="Yes",$D$27=""),OR($D$33="Yes",$D$33="")),"No","")</f>
        <v/>
      </c>
      <c r="E100" s="264" t="str">
        <f>IF(AND(OR($D$26="Yes",$D$26=""),OR($D$32="Yes",$D$32="")),"50% or less","")</f>
        <v/>
      </c>
      <c r="G100" s="264" t="str">
        <f>IF(OR($D$28="Yes",$D$28=""),"Yes","")</f>
        <v/>
      </c>
    </row>
    <row r="101" spans="2:7" ht="15.75" hidden="1">
      <c r="B101" s="219" t="s">
        <v>2371</v>
      </c>
      <c r="D101" s="264" t="str">
        <f>IF(AND(OR($D$27="Yes",$D$27=""),OR($D$33="Yes",$D$33="")),"Unknown","")</f>
        <v/>
      </c>
      <c r="E101" s="264" t="str">
        <f>IF(AND(OR($D$26="Yes",$D$26=""),OR($D$32="Yes",$D$32="")),"None","")</f>
        <v/>
      </c>
      <c r="G101" s="264" t="str">
        <f>IF(OR($D$28="Yes",$D$28=""),"No","")</f>
        <v/>
      </c>
    </row>
    <row r="102" spans="2:7" ht="15.75" hidden="1">
      <c r="B102" s="219" t="s">
        <v>2372</v>
      </c>
      <c r="D102" s="264" t="str">
        <f>IF(AND(OR($D$28="Yes",$D$28=""),OR($D$34="Yes",$D$34="")),"Yes","")</f>
        <v/>
      </c>
      <c r="E102" s="264" t="str">
        <f>IF(AND(OR($D$27="Yes",$D$27=""),OR($D$33="Yes",$D$33="")),"100%","")</f>
        <v/>
      </c>
      <c r="G102" s="264" t="str">
        <f>IF(OR($D$29="Yes",$D$29=""),"Yes","")</f>
        <v/>
      </c>
    </row>
    <row r="103" spans="2:7" ht="15.75" hidden="1">
      <c r="B103" s="219" t="s">
        <v>2373</v>
      </c>
      <c r="D103" s="264" t="str">
        <f>IF(AND(OR($D$28="Yes",$D$28=""),OR($D$34="Yes",$D$34="")),"No","")</f>
        <v/>
      </c>
      <c r="E103" s="264" t="str">
        <f>IF(AND(OR($D$27="Yes",$D$27=""),OR($D$33="Yes",$D$33="")),"Greater than 90%","")</f>
        <v/>
      </c>
      <c r="G103" s="264" t="str">
        <f>IF(OR($D$29="Yes",$D$29=""),"No","")</f>
        <v/>
      </c>
    </row>
    <row r="104" spans="2:7" ht="15.75" hidden="1">
      <c r="B104" s="219" t="s">
        <v>476</v>
      </c>
      <c r="D104" s="264" t="str">
        <f>IF(AND(OR($D$28="Yes",$D$28=""),OR($D$34="Yes",$D$34="")),"Unknown","")</f>
        <v/>
      </c>
      <c r="E104" s="264" t="str">
        <f>IF(AND(OR($D$27="Yes",$D$27=""),OR($D$33="Yes",$D$33="")),"Greater than 75%","")</f>
        <v/>
      </c>
    </row>
    <row r="105" spans="2:7" ht="15.75" hidden="1">
      <c r="B105" s="219" t="s">
        <v>14427</v>
      </c>
      <c r="D105" s="264" t="str">
        <f>IF(AND(OR($D$29="Yes",$D$29=""),OR($D$35="Yes",$D$35="")),"Yes","")</f>
        <v/>
      </c>
      <c r="E105" s="264" t="str">
        <f>IF(AND(OR($D$27="Yes",$D$27=""),OR($D$33="Yes",$D$33="")),"Greater than 50%","")</f>
        <v/>
      </c>
    </row>
    <row r="106" spans="2:7" ht="15.75" hidden="1">
      <c r="B106" s="219" t="s">
        <v>11949</v>
      </c>
      <c r="D106" s="264" t="str">
        <f>IF(AND(OR($D$29="Yes",$D$29=""),OR($D$35="Yes",$D$35="")),"No","")</f>
        <v/>
      </c>
      <c r="E106" s="264" t="str">
        <f>IF(AND(OR($D$27="Yes",$D$27=""),OR($D$33="Yes",$D$33="")),"50% or less","")</f>
        <v/>
      </c>
    </row>
    <row r="107" spans="2:7" ht="15.75" hidden="1">
      <c r="B107" s="219" t="s">
        <v>474</v>
      </c>
      <c r="D107" s="264" t="str">
        <f>IF(AND(OR($D$29="Yes",$D$29=""),OR($D$35="Yes",$D$35="")),"Unknown","")</f>
        <v/>
      </c>
      <c r="E107" s="264" t="str">
        <f>IF(AND(OR($D$27="Yes",$D$27=""),OR($D$33="Yes",$D$33="")),"None","")</f>
        <v/>
      </c>
    </row>
    <row r="108" spans="2:7" ht="15.75" hidden="1">
      <c r="B108" s="219" t="s">
        <v>13454</v>
      </c>
      <c r="E108" s="264" t="str">
        <f>IF(AND(OR($D$28="Yes",$D$28=""),OR($D$34="Yes",$D$34="")),"100%","")</f>
        <v/>
      </c>
    </row>
    <row r="109" spans="2:7" ht="15.75" hidden="1">
      <c r="B109" s="219" t="s">
        <v>13456</v>
      </c>
      <c r="E109" s="264" t="str">
        <f>IF(AND(OR($D$28="Yes",$D$28=""),OR($D$34="Yes",$D$34="")),"Greater than 90%","")</f>
        <v/>
      </c>
    </row>
    <row r="110" spans="2:7" ht="15.75" hidden="1">
      <c r="B110" s="219" t="s">
        <v>13457</v>
      </c>
      <c r="E110" s="264" t="str">
        <f>IF(AND(OR($D$28="Yes",$D$28=""),OR($D$34="Yes",$D$34="")),"Greater than 75%","")</f>
        <v/>
      </c>
    </row>
    <row r="111" spans="2:7" ht="15.7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8BCC7DFA-652A-47E3-8744-499F9BF2786D}"/>
    <hyperlink ref="D20" r:id="rId4" xr:uid="{9D6B3280-C1E5-4347-9072-A76A563C3C76}"/>
    <hyperlink ref="G77" r:id="rId5" xr:uid="{EBAFC02D-A261-4759-AC80-5B184C183429}"/>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c r="B5" s="166" t="str">
        <f>IF(LEN(A5)=0,"",INDEX('Smelter Look-up'!$A:$A,MATCH($A5,'Smelter Look-up'!$E:$E,0)))</f>
        <v/>
      </c>
      <c r="C5" s="170" t="str">
        <f>IF(LEN(A5)=0,"",INDEX('Smelter Look-up'!$C:$C,MATCH($A5,'Smelter Look-up'!$E:$E,0)))</f>
        <v/>
      </c>
      <c r="D5" s="213"/>
      <c r="E5" s="166" t="str">
        <f ca="1">IF(ISERROR($V5),"",OFFSET('Smelter Look-up'!$D$4,$V5-4,0)&amp;"")</f>
        <v/>
      </c>
      <c r="F5" s="166" t="str">
        <f ca="1">IF(ISERROR($V5),"",OFFSET('Smelter Look-up'!$E$4,$V5-4,0))</f>
        <v/>
      </c>
      <c r="G5" s="166" t="str">
        <f ca="1">IF(C5=$X$4,IF(ISERROR($V5),"Enter smelter details","RMI"),IF(ISERROR($V5),"",OFFSET('Smelter Look-up'!$F$4,$V5-4,0)))</f>
        <v/>
      </c>
      <c r="H5" s="167" t="str">
        <f ca="1">IF(ISERROR($V5),"",OFFSET('Smelter Look-up'!$G$4,$V5-4,0))</f>
        <v/>
      </c>
      <c r="I5" s="168" t="str">
        <f ca="1">IF(ISERROR($V5),"",OFFSET('Smelter Look-up'!$H$4,$V5-4,0))</f>
        <v/>
      </c>
      <c r="J5" s="168" t="str">
        <f ca="1">IF(ISERROR($V5),"",OFFSET('Smelter Look-up'!$I$4,$V5-4,0))</f>
        <v/>
      </c>
      <c r="K5" s="207"/>
      <c r="L5" s="207"/>
      <c r="M5" s="207"/>
      <c r="N5" s="207"/>
      <c r="O5" s="207"/>
      <c r="P5" s="169"/>
      <c r="Q5" s="208"/>
      <c r="R5" s="166" t="str">
        <f ca="1">IF(ISERROR($V5),"",OFFSET('Smelter Look-up'!$C$4,$V5-4,0)&amp;"")</f>
        <v/>
      </c>
      <c r="S5" s="165" t="str">
        <f ca="1">IF(B5="","",IF(ISERROR(MATCH($E5,CL,0)),"Unknown",INDIRECT("'C'!$A$"&amp;MATCH($E5,CL,0)+1)))</f>
        <v/>
      </c>
      <c r="T5" s="165" t="str">
        <f ca="1">IF(B5="","",IF(ISERROR(MATCH($J5,SorP!$B$1:$B$6261,0)),"",INDIRECT("'SorP'!$A$"&amp;MATCH($S5&amp;$J5,SorP!C:C,0))))</f>
        <v/>
      </c>
      <c r="U5" s="185"/>
      <c r="V5" s="209" t="e">
        <f>IF(C5="",NA(),IF(OR(C5="Smelter not listed",C5="Smelter not yet identified"),MATCH($B5&amp;$D5,'Smelter Look-up'!$J:$J,0),MATCH($B5&amp;$C5,'Smelter Look-up'!$J:$J,0)))</f>
        <v>#N/A</v>
      </c>
      <c r="X5" s="210">
        <f t="shared" ref="X5" ca="1" si="0">IF(AND(C5="Smelter not listed",OR(LEN(D5)=0,LEN(E5)=0)),1,0)</f>
        <v>0</v>
      </c>
      <c r="AB5" s="211" t="str">
        <f t="shared" ref="AB5" si="1">B5&amp;C5</f>
        <v/>
      </c>
    </row>
    <row r="6" spans="1:34" s="210" customFormat="1" ht="20.100000000000001"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00000000000001"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2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2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2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F08E6349-7E1B-40DD-987D-17D7C4999D3A}"/>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Kaiser Aluminum Warrick, LLC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2026</v>
      </c>
      <c r="C6" s="86" t="str">
        <f ca="1">IF(H6=1,J6,I6)</f>
        <v>Complete</v>
      </c>
      <c r="D6" s="92" t="str">
        <f>IF(H6=1,"Click here to provide a Description of Scope","")</f>
        <v/>
      </c>
      <c r="E6" s="19" t="s">
        <v>1261</v>
      </c>
      <c r="F6" s="91">
        <f>IF(OR(B5=Declaration!P9,B5=Declaration!Q9,B5=0),0,1)</f>
        <v>0</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Cherrie Tsai</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cherrie.tsai@kaiseraluminum.com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626.252.7162</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Cherrie Tsai</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cherrie.tsai@kaiseraluminum.com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46216</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 xml:space="preserve">Tin  </v>
      </c>
      <c r="B15" s="86" t="str">
        <f>Declaration!D27</f>
        <v>No</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 xml:space="preserve">Tin  </v>
      </c>
      <c r="B20" s="86">
        <f>IF($B$15="Yes",Declaration!D33,0)</f>
        <v>0</v>
      </c>
      <c r="C20" s="86" t="str">
        <f ca="1">IF(H20=1,J20,I20)</f>
        <v>Complete</v>
      </c>
      <c r="D20" s="94" t="str">
        <f>IF(H20=1,"Click here to answer question 2 for Tin","")</f>
        <v/>
      </c>
      <c r="E20" s="19" t="s">
        <v>770</v>
      </c>
      <c r="F20" s="91">
        <f>IF(B$15="No",0,1)</f>
        <v>0</v>
      </c>
      <c r="G20" s="67">
        <f>IF(B20=0,1,0)</f>
        <v>1</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770</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 xml:space="preserve">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1261</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 xml:space="preserve">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 xml:space="preserve">Tin  </v>
      </c>
      <c r="B40" s="251">
        <f>IF(AND($B$15="Yes",$B$20="Yes"),Declaration!D57,0)</f>
        <v>0</v>
      </c>
      <c r="C40" s="86" t="str">
        <f ca="1">IF(H40=1,J40,I40)</f>
        <v>Complete</v>
      </c>
      <c r="D40" s="244" t="str">
        <f>IF(H40=1,"Click here to answer question 6 for Tin","")</f>
        <v/>
      </c>
      <c r="E40" s="19" t="s">
        <v>769</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 xml:space="preserve">Gold  </v>
      </c>
      <c r="B41" s="251">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 xml:space="preserve">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 xml:space="preserve">Tin  </v>
      </c>
      <c r="B45" s="86">
        <f>IF(AND($B$15="Yes",$B$20="Yes"),Declaration!D63,0)</f>
        <v>0</v>
      </c>
      <c r="C45" s="86" t="str">
        <f ca="1">IF(H45=1,J45,I45)</f>
        <v>Complete</v>
      </c>
      <c r="D45" s="243" t="str">
        <f>IF(H45=1,"Click here to answer question 7 for Tin","")</f>
        <v/>
      </c>
      <c r="E45" s="19" t="s">
        <v>1257</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 xml:space="preserve">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770</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v>
      </c>
      <c r="B54" s="86" t="str">
        <f>Declaration!D75</f>
        <v>Yes</v>
      </c>
      <c r="C54" s="86" t="str">
        <f t="shared" ref="C54:C60" ca="1" si="10">IF(H54=1,J54,I54)</f>
        <v>Complete</v>
      </c>
      <c r="D54" s="92" t="str">
        <f>IF(H54=1,"Click here to answer question (A)","")</f>
        <v/>
      </c>
      <c r="E54" s="19" t="s">
        <v>1261</v>
      </c>
      <c r="F54" s="91">
        <f>IF(SUM(F$24:F$27)=0,0,1)</f>
        <v>0</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v>
      </c>
      <c r="B55" s="86" t="str">
        <f>Declaration!D77</f>
        <v>Yes</v>
      </c>
      <c r="C55" s="86" t="str">
        <f t="shared" ca="1" si="10"/>
        <v>Complete</v>
      </c>
      <c r="D55" s="92" t="str">
        <f>IF(H55=1,"Click here to answer question (B)","")</f>
        <v/>
      </c>
      <c r="E55" s="19" t="s">
        <v>1261</v>
      </c>
      <c r="F55" s="91">
        <f t="shared" ref="F55" si="12">F$54</f>
        <v>0</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www.kaiseraluminum.com</v>
      </c>
      <c r="C56" s="86" t="str">
        <f t="shared" ca="1" si="10"/>
        <v>Complete</v>
      </c>
      <c r="D56" s="92" t="str">
        <f>IF(H56=1,"Click here to specify URL for question (B)","")</f>
        <v/>
      </c>
      <c r="E56" s="19"/>
      <c r="F56" s="91">
        <f>IF(AND(F55=1,B55="Yes"),1,0)</f>
        <v>0</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v>
      </c>
      <c r="B57" s="86" t="str">
        <f>Declaration!D79</f>
        <v>Yes</v>
      </c>
      <c r="C57" s="86" t="str">
        <f t="shared" ca="1" si="10"/>
        <v>Complete</v>
      </c>
      <c r="D57" s="92" t="str">
        <f>IF(H57=1,"Click here to answer question (C)","")</f>
        <v/>
      </c>
      <c r="E57" s="19" t="s">
        <v>1261</v>
      </c>
      <c r="F57" s="91">
        <f>F$54</f>
        <v>0</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v>
      </c>
      <c r="B58" s="86" t="str">
        <f>Declaration!D81</f>
        <v>Yes</v>
      </c>
      <c r="C58" s="86" t="str">
        <f t="shared" ca="1" si="10"/>
        <v>Complete</v>
      </c>
      <c r="D58" s="92" t="str">
        <f>IF(H58=1,"Click here to answer question (D)","")</f>
        <v/>
      </c>
      <c r="E58" s="19" t="s">
        <v>1261</v>
      </c>
      <c r="F58" s="91">
        <f>F$54</f>
        <v>0</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v>
      </c>
      <c r="B59" s="86" t="str">
        <f>Declaration!D83</f>
        <v>Yes, in conformance with IPC1755 (e.g., CMRT)</v>
      </c>
      <c r="C59" s="86" t="str">
        <f t="shared" ca="1" si="10"/>
        <v>Complete</v>
      </c>
      <c r="D59" s="92" t="str">
        <f>IF(H59=1,"Click here to answer question (E)","")</f>
        <v/>
      </c>
      <c r="E59" s="19" t="s">
        <v>1261</v>
      </c>
      <c r="F59" s="91">
        <f>F$54</f>
        <v>0</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v>
      </c>
      <c r="B60" s="86" t="str">
        <f>Declaration!D85</f>
        <v>Yes</v>
      </c>
      <c r="C60" s="86" t="str">
        <f t="shared" ca="1" si="10"/>
        <v>Complete</v>
      </c>
      <c r="D60" s="92" t="str">
        <f>IF(H60=1,"Click here to answer question (F)","")</f>
        <v/>
      </c>
      <c r="E60" s="19" t="s">
        <v>1261</v>
      </c>
      <c r="F60" s="91">
        <f>F$54</f>
        <v>0</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v>
      </c>
      <c r="B62" s="86" t="str">
        <f>Declaration!D87</f>
        <v>Yes</v>
      </c>
      <c r="C62" s="86" t="str">
        <f t="shared" ref="C62:C68" ca="1" si="13">IF(H62=1,J62,I62)</f>
        <v>Complete</v>
      </c>
      <c r="D62" s="92" t="str">
        <f>IF(H62=1,"Click here to answer question (G)","")</f>
        <v/>
      </c>
      <c r="E62" s="19" t="s">
        <v>1261</v>
      </c>
      <c r="F62" s="91">
        <f>F$54</f>
        <v>0</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v>
      </c>
      <c r="B63" s="86" t="str">
        <f>Declaration!D89</f>
        <v>Yes, with the SEC</v>
      </c>
      <c r="C63" s="86" t="str">
        <f t="shared" ca="1" si="13"/>
        <v>Complete</v>
      </c>
      <c r="D63" s="92" t="str">
        <f>IF(H63=1,"Click here to answer question (H)","")</f>
        <v/>
      </c>
      <c r="E63" s="19" t="s">
        <v>1261</v>
      </c>
      <c r="F63" s="91">
        <f>F$54</f>
        <v>0</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0</v>
      </c>
      <c r="G66" s="67">
        <f>IF(AND(COUNTIF(SmelterIdetifiedForMetal,"Tin")&gt;0,COUNTIF('Smelter List'!AB$5:AB$2504,"Tin?*")&gt;0),0,1)</f>
        <v>1</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0</v>
      </c>
      <c r="G67" s="67">
        <f>IF(AND(COUNTIF(SmelterIdetifiedForMetal,"Gold")&gt;0,COUNTIF('Smelter List'!AB$5:AB$2504,"Gold?*")&gt;0),0,1)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1FAACA25-B67A-488D-9289-C080D23FCF50}"/>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EBC4F0F9-4C6A-48AB-82BC-9D548DD53E25}"/>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Tsai, Cherrie</cp:lastModifiedBy>
  <cp:lastPrinted>2015-04-21T20:47:43Z</cp:lastPrinted>
  <dcterms:created xsi:type="dcterms:W3CDTF">2010-06-21T21:00:23Z</dcterms:created>
  <dcterms:modified xsi:type="dcterms:W3CDTF">2026-09-24T17:06:18Z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